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65" yWindow="105" windowWidth="4140" windowHeight="7755" firstSheet="1" activeTab="3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Print_Area" localSheetId="3">Edo_Analit_PE_Clasi_funcional!$B$2:$I$63</definedName>
    <definedName name="_xlnm.Print_Area" localSheetId="1">Edo_Analitico_ClasiEcon_TipoGto!$B$2:$I$28</definedName>
    <definedName name="_xlnm.Print_Area" localSheetId="2">Edo_Analítico_Pres_Egre_CapGto!$B$2:$I$96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hidden="1">#REF!</definedName>
    <definedName name="Tabla">[13]!Tabla1[#All]</definedName>
    <definedName name="_xlnm.Print_Titles" localSheetId="3">Edo_Analit_PE_Clasi_funcional!$2:$11</definedName>
    <definedName name="_xlnm.Print_Titles" localSheetId="2">Edo_Analítico_Pres_Egre_CapGto!$2:$10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 l="1"/>
  <c r="P48" i="18"/>
  <c r="P47" i="18"/>
  <c r="P46" i="18"/>
  <c r="P45" i="18"/>
  <c r="P44" i="18"/>
  <c r="P43" i="18"/>
  <c r="P42" i="18"/>
  <c r="P41" i="18"/>
  <c r="P40" i="18"/>
  <c r="M21" i="18" l="1"/>
  <c r="N56" i="18" l="1"/>
  <c r="N35" i="18"/>
  <c r="N31" i="18"/>
  <c r="N25" i="18"/>
  <c r="N24" i="18"/>
  <c r="N19" i="18"/>
  <c r="N21" i="18" l="1"/>
  <c r="N16" i="18"/>
  <c r="N14" i="18"/>
  <c r="N15" i="18"/>
  <c r="N17" i="18"/>
  <c r="N18" i="18"/>
  <c r="N23" i="18"/>
  <c r="N27" i="18"/>
  <c r="N34" i="18"/>
  <c r="N37" i="18"/>
  <c r="N39" i="18"/>
  <c r="N53" i="18"/>
  <c r="P53" i="18" s="1"/>
  <c r="N58" i="18"/>
  <c r="P58" i="18" s="1"/>
  <c r="N69" i="18"/>
  <c r="N64" i="18" s="1"/>
  <c r="N26" i="18"/>
  <c r="N28" i="18"/>
  <c r="N29" i="18"/>
  <c r="N33" i="18"/>
  <c r="N55" i="18"/>
  <c r="P55" i="18" s="1"/>
  <c r="N13" i="18"/>
  <c r="N22" i="18"/>
  <c r="N32" i="18"/>
  <c r="N51" i="18"/>
  <c r="N52" i="18"/>
  <c r="N54" i="18"/>
  <c r="P54" i="18" s="1"/>
  <c r="N59" i="18"/>
  <c r="P59" i="18" s="1"/>
  <c r="K58" i="18"/>
  <c r="N36" i="18"/>
  <c r="N38" i="18"/>
  <c r="N57" i="18"/>
  <c r="P57" i="18" s="1"/>
  <c r="K57" i="18"/>
  <c r="K69" i="18"/>
  <c r="P56" i="18"/>
  <c r="K55" i="18"/>
  <c r="K54" i="18"/>
  <c r="K59" i="18"/>
  <c r="K56" i="18" l="1"/>
  <c r="N20" i="18"/>
  <c r="P69" i="18"/>
  <c r="N12" i="18"/>
  <c r="N30" i="18"/>
  <c r="N50" i="18"/>
  <c r="P64" i="18"/>
  <c r="N84" i="18" l="1"/>
  <c r="O69" i="18"/>
  <c r="O64" i="18" s="1"/>
  <c r="K53" i="18" l="1"/>
  <c r="O55" i="18" l="1"/>
  <c r="K14" i="18"/>
  <c r="P14" i="18"/>
  <c r="K18" i="18"/>
  <c r="P18" i="18"/>
  <c r="K22" i="18"/>
  <c r="P22" i="18"/>
  <c r="K26" i="18"/>
  <c r="P26" i="18"/>
  <c r="K31" i="18"/>
  <c r="P31" i="18"/>
  <c r="K35" i="18"/>
  <c r="P35" i="18"/>
  <c r="K39" i="18"/>
  <c r="P39" i="18"/>
  <c r="K15" i="18"/>
  <c r="P15" i="18"/>
  <c r="K19" i="18"/>
  <c r="P19" i="18"/>
  <c r="K23" i="18"/>
  <c r="P23" i="18"/>
  <c r="K27" i="18"/>
  <c r="P27" i="18"/>
  <c r="K32" i="18"/>
  <c r="P32" i="18"/>
  <c r="K36" i="18"/>
  <c r="P36" i="18"/>
  <c r="K16" i="18"/>
  <c r="P16" i="18"/>
  <c r="K24" i="18"/>
  <c r="P24" i="18"/>
  <c r="K28" i="18"/>
  <c r="P28" i="18"/>
  <c r="K33" i="18"/>
  <c r="P33" i="18"/>
  <c r="K37" i="18"/>
  <c r="P37" i="18"/>
  <c r="K51" i="18"/>
  <c r="P51" i="18"/>
  <c r="K13" i="18"/>
  <c r="P13" i="18"/>
  <c r="K17" i="18"/>
  <c r="P17" i="18"/>
  <c r="K21" i="18"/>
  <c r="P21" i="18"/>
  <c r="K25" i="18"/>
  <c r="P25" i="18"/>
  <c r="K29" i="18"/>
  <c r="P29" i="18"/>
  <c r="K34" i="18"/>
  <c r="P34" i="18"/>
  <c r="K38" i="18"/>
  <c r="P38" i="18"/>
  <c r="K52" i="18"/>
  <c r="P52" i="18"/>
  <c r="P50" i="18" l="1"/>
  <c r="O56" i="18"/>
  <c r="O58" i="18"/>
  <c r="O59" i="18"/>
  <c r="O57" i="18"/>
  <c r="O53" i="18"/>
  <c r="P12" i="18"/>
  <c r="O24" i="18"/>
  <c r="O16" i="18"/>
  <c r="O31" i="18"/>
  <c r="O17" i="18"/>
  <c r="O14" i="18"/>
  <c r="O28" i="18"/>
  <c r="O23" i="18"/>
  <c r="O37" i="18"/>
  <c r="O29" i="18"/>
  <c r="K30" i="18"/>
  <c r="P30" i="18"/>
  <c r="O13" i="18"/>
  <c r="O25" i="18"/>
  <c r="O38" i="18"/>
  <c r="K12" i="18"/>
  <c r="O54" i="18" l="1"/>
  <c r="O36" i="18"/>
  <c r="O32" i="18"/>
  <c r="O39" i="18"/>
  <c r="O15" i="18"/>
  <c r="O34" i="18"/>
  <c r="O33" i="18"/>
  <c r="O22" i="18"/>
  <c r="O18" i="18"/>
  <c r="O35" i="18"/>
  <c r="O51" i="18"/>
  <c r="O52" i="18"/>
  <c r="O27" i="18"/>
  <c r="O50" i="18" l="1"/>
  <c r="O30" i="18"/>
  <c r="O26" i="18"/>
  <c r="O19" i="18" l="1"/>
  <c r="O12" i="18" s="1"/>
  <c r="K50" i="18" l="1"/>
  <c r="P20" i="18" l="1"/>
  <c r="P84" i="18"/>
  <c r="K20" i="18"/>
  <c r="K84" i="18" s="1"/>
  <c r="O21" i="18" l="1"/>
  <c r="O20" i="18" s="1"/>
  <c r="O84" i="18" s="1"/>
  <c r="N85" i="18" l="1"/>
  <c r="N86" i="18" l="1"/>
</calcChain>
</file>

<file path=xl/sharedStrings.xml><?xml version="1.0" encoding="utf-8"?>
<sst xmlns="http://schemas.openxmlformats.org/spreadsheetml/2006/main" count="212" uniqueCount="140">
  <si>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</si>
  <si>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</si>
  <si>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</si>
  <si>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</si>
  <si>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</si>
  <si>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</si>
  <si>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</si>
  <si>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</si>
  <si>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</si>
  <si>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</si>
  <si>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</si>
  <si>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</si>
  <si>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</si>
  <si>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</si>
  <si>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</si>
  <si>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</si>
  <si>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</si>
  <si>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</si>
  <si>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</si>
  <si>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</si>
  <si>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</si>
  <si>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</si>
  <si>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</si>
  <si>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</si>
  <si>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COLEGIO DE ESTUDIOS CIENTIFICOS Y TECNOLOGICOS DEL ESTADO DE CAMPECHE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</si>
  <si>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</si>
  <si>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</si>
  <si>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</si>
  <si>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</si>
  <si>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</si>
  <si>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</si>
  <si>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</si>
  <si>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</si>
  <si>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</si>
  <si>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</si>
  <si>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</si>
  <si>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</si>
  <si>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</si>
  <si>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</si>
  <si>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</si>
  <si>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</si>
  <si>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</si>
  <si>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</si>
  <si>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</si>
  <si>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</si>
  <si>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</si>
  <si>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</si>
  <si>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</si>
  <si>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</si>
  <si>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</si>
  <si>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</si>
  <si>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</si>
  <si>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</si>
  <si>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</si>
  <si>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</si>
  <si>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</si>
  <si>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</si>
  <si>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</si>
  <si>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</si>
  <si>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</si>
  <si>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</si>
  <si>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</si>
  <si>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</si>
  <si>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</si>
  <si>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</si>
  <si>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</si>
  <si>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</si>
  <si>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</si>
  <si>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</si>
  <si>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</si>
  <si>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</si>
  <si>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</si>
  <si>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</si>
  <si>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</si>
  <si>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</si>
  <si>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</si>
  <si>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</si>
  <si>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</si>
  <si>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</si>
  <si>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</si>
  <si>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</si>
  <si>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</si>
  <si>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</si>
  <si>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</si>
  <si>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</si>
  <si>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</si>
  <si>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</si>
  <si>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</si>
  <si>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</si>
  <si>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</si>
  <si>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</si>
  <si>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</si>
  <si>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</si>
  <si>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</si>
  <si>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</si>
  <si>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</si>
  <si>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</si>
  <si>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</si>
  <si>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</si>
  <si>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</si>
  <si>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</si>
  <si>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</si>
  <si>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</si>
  <si>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</si>
  <si>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</si>
  <si>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</si>
  <si>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</si>
  <si>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</si>
  <si>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</si>
  <si>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</si>
  <si>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</si>
  <si>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</si>
  <si>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</si>
  <si>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</si>
  <si>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</si>
  <si>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</si>
  <si>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</si>
  <si>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</si>
  <si>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</si>
  <si>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</si>
  <si>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</si>
  <si>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</si>
  <si>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</si>
  <si>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</si>
  <si>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</si>
  <si>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</si>
  <si>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subsidio</t>
  </si>
  <si>
    <t>Diferencia</t>
  </si>
  <si>
    <t>Polizas D3439,D3461,D3515,D3518</t>
  </si>
  <si>
    <t>Del 01 de Enero  al  30 de Septiembre del 2016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</si>
  <si>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</si>
  <si>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</si>
  <si>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</si>
  <si>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AUTORIZO:</t>
  </si>
  <si>
    <t>C.P. JAIME OMAR HUCHIN MIS</t>
  </si>
  <si>
    <t>LAF. INDIRA PATRICIA TACÚ PEREZ</t>
  </si>
  <si>
    <t xml:space="preserve"> DRA. CINDY ROSSINA DEL R. SARAVIA LOPEZ</t>
  </si>
  <si>
    <t>SUBDIRECTOR DE CONTABILIDAD</t>
  </si>
  <si>
    <t>DIRECTORA ADMINISTRATIVA</t>
  </si>
  <si>
    <t xml:space="preserve">                     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</si>
</sst>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3" xfId="3" applyFont="1" applyFill="1" applyBorder="1" applyAlignment="1">
      <alignment vertical="center" wrapText="1"/>
    </xf>
    <xf numFmtId="43" fontId="5" fillId="0" borderId="13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43" fontId="5" fillId="0" borderId="14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18" xfId="3" applyNumberFormat="1" applyFont="1" applyFill="1" applyBorder="1" applyAlignment="1">
      <alignment vertical="center"/>
    </xf>
    <xf numFmtId="165" fontId="7" fillId="0" borderId="19" xfId="3" applyNumberFormat="1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vertical="center" wrapText="1"/>
    </xf>
    <xf numFmtId="1" fontId="7" fillId="0" borderId="16" xfId="3" applyNumberFormat="1" applyFont="1" applyFill="1" applyBorder="1" applyAlignment="1">
      <alignment horizontal="center" vertical="center" wrapText="1"/>
    </xf>
    <xf numFmtId="1" fontId="7" fillId="0" borderId="20" xfId="3" applyNumberFormat="1" applyFont="1" applyFill="1" applyBorder="1" applyAlignment="1">
      <alignment horizontal="center"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43" fontId="17" fillId="0" borderId="13" xfId="4" applyFont="1" applyFill="1" applyBorder="1" applyAlignment="1">
      <alignment vertical="center"/>
    </xf>
    <xf numFmtId="43" fontId="17" fillId="0" borderId="13" xfId="3" applyNumberFormat="1" applyFont="1" applyFill="1" applyBorder="1" applyAlignment="1">
      <alignment vertical="center"/>
    </xf>
    <xf numFmtId="43" fontId="17" fillId="0" borderId="14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18" xfId="3" applyNumberFormat="1" applyFont="1" applyFill="1" applyBorder="1" applyAlignment="1">
      <alignment vertical="center"/>
    </xf>
    <xf numFmtId="1" fontId="7" fillId="0" borderId="17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7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2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3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18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0" fillId="6" borderId="23" xfId="0" applyFont="1" applyFill="1" applyBorder="1"/>
    <xf numFmtId="0" fontId="20" fillId="6" borderId="24" xfId="0" applyFont="1" applyFill="1" applyBorder="1"/>
    <xf numFmtId="0" fontId="20" fillId="6" borderId="26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39" xfId="0" applyFont="1" applyFill="1" applyBorder="1"/>
    <xf numFmtId="0" fontId="3" fillId="6" borderId="30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2" xfId="0" applyFont="1" applyFill="1" applyBorder="1"/>
    <xf numFmtId="0" fontId="2" fillId="6" borderId="23" xfId="0" applyFont="1" applyFill="1" applyBorder="1"/>
    <xf numFmtId="0" fontId="2" fillId="6" borderId="25" xfId="0" applyFont="1" applyFill="1" applyBorder="1"/>
    <xf numFmtId="43" fontId="2" fillId="6" borderId="38" xfId="1" applyFont="1" applyFill="1" applyBorder="1"/>
    <xf numFmtId="43" fontId="2" fillId="6" borderId="26" xfId="1" applyFont="1" applyFill="1" applyBorder="1"/>
    <xf numFmtId="43" fontId="2" fillId="6" borderId="27" xfId="1" applyFont="1" applyFill="1" applyBorder="1"/>
    <xf numFmtId="0" fontId="2" fillId="6" borderId="38" xfId="0" applyFont="1" applyFill="1" applyBorder="1"/>
    <xf numFmtId="0" fontId="2" fillId="6" borderId="26" xfId="0" applyFont="1" applyFill="1" applyBorder="1"/>
    <xf numFmtId="0" fontId="2" fillId="6" borderId="27" xfId="0" applyFont="1" applyFill="1" applyBorder="1"/>
    <xf numFmtId="0" fontId="22" fillId="7" borderId="26" xfId="3" applyFont="1" applyFill="1" applyBorder="1" applyAlignment="1"/>
    <xf numFmtId="0" fontId="22" fillId="7" borderId="0" xfId="3" applyFont="1" applyFill="1" applyBorder="1" applyAlignment="1"/>
    <xf numFmtId="0" fontId="22" fillId="7" borderId="27" xfId="3" applyFont="1" applyFill="1" applyBorder="1" applyAlignment="1"/>
    <xf numFmtId="0" fontId="22" fillId="7" borderId="28" xfId="3" applyFont="1" applyFill="1" applyBorder="1" applyAlignment="1"/>
    <xf numFmtId="0" fontId="22" fillId="7" borderId="29" xfId="3" applyFont="1" applyFill="1" applyBorder="1" applyAlignment="1"/>
    <xf numFmtId="0" fontId="22" fillId="7" borderId="21" xfId="3" applyFont="1" applyFill="1" applyBorder="1" applyAlignment="1"/>
    <xf numFmtId="1" fontId="7" fillId="0" borderId="40" xfId="3" applyNumberFormat="1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vertical="center" wrapText="1"/>
    </xf>
    <xf numFmtId="43" fontId="5" fillId="0" borderId="38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1" xfId="3" applyNumberFormat="1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vertical="center" wrapText="1"/>
    </xf>
    <xf numFmtId="0" fontId="23" fillId="3" borderId="43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0" fontId="16" fillId="0" borderId="15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20" fillId="6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43" fontId="5" fillId="8" borderId="1" xfId="4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23" fillId="3" borderId="34" xfId="0" applyFont="1" applyFill="1" applyBorder="1" applyAlignment="1">
      <alignment horizontal="center" vertical="center"/>
    </xf>
    <xf numFmtId="0" fontId="21" fillId="7" borderId="23" xfId="3" applyFont="1" applyFill="1" applyBorder="1" applyAlignment="1">
      <alignment horizontal="center"/>
    </xf>
    <xf numFmtId="0" fontId="21" fillId="7" borderId="24" xfId="3" applyFont="1" applyFill="1" applyBorder="1" applyAlignment="1">
      <alignment horizont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7" fillId="0" borderId="42" xfId="3" applyFont="1" applyFill="1" applyBorder="1" applyAlignment="1">
      <alignment horizontal="left" vertical="center" wrapText="1"/>
    </xf>
    <xf numFmtId="0" fontId="7" fillId="0" borderId="3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42" xfId="3" applyFont="1" applyFill="1" applyBorder="1" applyAlignment="1">
      <alignment vertical="center" wrapText="1"/>
    </xf>
    <xf numFmtId="0" fontId="7" fillId="0" borderId="31" xfId="3" applyFont="1" applyFill="1" applyBorder="1" applyAlignment="1">
      <alignment vertical="center" wrapText="1"/>
    </xf>
    <xf numFmtId="0" fontId="16" fillId="0" borderId="11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6" fillId="0" borderId="42" xfId="3" applyFont="1" applyFill="1" applyBorder="1" applyAlignment="1">
      <alignment horizontal="left" vertical="center" wrapText="1"/>
    </xf>
    <xf numFmtId="0" fontId="16" fillId="0" borderId="31" xfId="3" applyFont="1" applyFill="1" applyBorder="1" applyAlignment="1">
      <alignment horizontal="left" vertical="center" wrapText="1"/>
    </xf>
    <xf numFmtId="0" fontId="24" fillId="0" borderId="0" xfId="3" applyFont="1" applyFill="1" applyBorder="1"/>
    <xf numFmtId="0" fontId="24" fillId="0" borderId="0" xfId="3" applyFont="1" applyFill="1" applyBorder="1" applyAlignment="1">
      <alignment horizontal="center"/>
    </xf>
    <xf numFmtId="0" fontId="24" fillId="0" borderId="0" xfId="3" applyFont="1" applyFill="1" applyBorder="1" applyAlignment="1"/>
    <xf numFmtId="0" fontId="24" fillId="0" borderId="0" xfId="3" applyFont="1" applyBorder="1"/>
    <xf numFmtId="0" fontId="24" fillId="0" borderId="0" xfId="3" applyFont="1" applyBorder="1" applyAlignment="1">
      <alignment horizontal="center"/>
    </xf>
    <xf numFmtId="0" fontId="25" fillId="0" borderId="0" xfId="3" applyFont="1" applyBorder="1"/>
    <xf numFmtId="0" fontId="25" fillId="0" borderId="0" xfId="3" applyFont="1" applyFill="1" applyBorder="1"/>
    <xf numFmtId="0" fontId="25" fillId="0" borderId="0" xfId="3" applyFont="1" applyFill="1" applyBorder="1" applyAlignment="1">
      <alignment horizontal="center"/>
    </xf>
    <xf numFmtId="0" fontId="25" fillId="0" borderId="0" xfId="3" applyFont="1" applyFill="1" applyBorder="1" applyAlignment="1"/>
    <xf numFmtId="0" fontId="26" fillId="0" borderId="0" xfId="3" applyFont="1" applyFill="1" applyBorder="1"/>
    <xf numFmtId="0" fontId="25" fillId="0" borderId="0" xfId="3" applyFont="1" applyBorder="1" applyAlignment="1">
      <alignment horizontal="center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142875</xdr:rowOff>
    </xdr:from>
    <xdr:to>
      <xdr:col>8</xdr:col>
      <xdr:colOff>114299</xdr:colOff>
      <xdr:row>5</xdr:row>
      <xdr:rowOff>166349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32385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2</xdr:row>
      <xdr:rowOff>28575</xdr:rowOff>
    </xdr:from>
    <xdr:to>
      <xdr:col>2</xdr:col>
      <xdr:colOff>1111250</xdr:colOff>
      <xdr:row>6</xdr:row>
      <xdr:rowOff>60325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409575"/>
          <a:ext cx="1139825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631031</xdr:colOff>
      <xdr:row>1</xdr:row>
      <xdr:rowOff>35718</xdr:rowOff>
    </xdr:from>
    <xdr:to>
      <xdr:col>8</xdr:col>
      <xdr:colOff>469105</xdr:colOff>
      <xdr:row>5</xdr:row>
      <xdr:rowOff>49667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202406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71437</xdr:rowOff>
    </xdr:from>
    <xdr:to>
      <xdr:col>2</xdr:col>
      <xdr:colOff>889794</xdr:colOff>
      <xdr:row>5</xdr:row>
      <xdr:rowOff>131762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4344" y="238125"/>
          <a:ext cx="1139825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1</xdr:row>
      <xdr:rowOff>83344</xdr:rowOff>
    </xdr:from>
    <xdr:to>
      <xdr:col>8</xdr:col>
      <xdr:colOff>345282</xdr:colOff>
      <xdr:row>5</xdr:row>
      <xdr:rowOff>25612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1532" y="250032"/>
          <a:ext cx="821531" cy="763799"/>
        </a:xfrm>
        <a:prstGeom prst="rect">
          <a:avLst/>
        </a:prstGeom>
      </xdr:spPr>
    </xdr:pic>
    <xdr:clientData/>
  </xdr:twoCellAnchor>
  <xdr:twoCellAnchor editAs="oneCell">
    <xdr:from>
      <xdr:col>1</xdr:col>
      <xdr:colOff>226219</xdr:colOff>
      <xdr:row>0</xdr:row>
      <xdr:rowOff>154781</xdr:rowOff>
    </xdr:from>
    <xdr:to>
      <xdr:col>2</xdr:col>
      <xdr:colOff>1068388</xdr:colOff>
      <xdr:row>5</xdr:row>
      <xdr:rowOff>36512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438" y="154781"/>
          <a:ext cx="1139825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511969</xdr:colOff>
      <xdr:row>1</xdr:row>
      <xdr:rowOff>83343</xdr:rowOff>
    </xdr:from>
    <xdr:to>
      <xdr:col>8</xdr:col>
      <xdr:colOff>350043</xdr:colOff>
      <xdr:row>5</xdr:row>
      <xdr:rowOff>97292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9438" y="250031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416719</xdr:colOff>
      <xdr:row>1</xdr:row>
      <xdr:rowOff>47625</xdr:rowOff>
    </xdr:from>
    <xdr:to>
      <xdr:col>2</xdr:col>
      <xdr:colOff>1068388</xdr:colOff>
      <xdr:row>5</xdr:row>
      <xdr:rowOff>107950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2938" y="214313"/>
          <a:ext cx="1139825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poot\Mis%20documentos\Excel\EstadosFinancieros\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5"/>
  <sheetViews>
    <sheetView view="pageBreakPreview" zoomScale="60" zoomScaleNormal="100" workbookViewId="0">
      <selection activeCell="C25" sqref="C25"/>
    </sheetView>
  </sheetViews>
  <sheetFormatPr baseColWidth="10" defaultColWidth="11.42578125" defaultRowHeight="14.25" x14ac:dyDescent="0.2"/>
  <cols>
    <col min="1" max="1" width="2.85546875" style="47" customWidth="1"/>
    <col min="2" max="2" width="6.5703125" style="47" customWidth="1"/>
    <col min="3" max="3" width="60.42578125" style="47" customWidth="1"/>
    <col min="4" max="4" width="15.85546875" style="47" bestFit="1" customWidth="1"/>
    <col min="5" max="5" width="24.42578125" style="47" bestFit="1" customWidth="1"/>
    <col min="6" max="7" width="16.85546875" style="47" bestFit="1" customWidth="1"/>
    <col min="8" max="9" width="14.42578125" style="47" bestFit="1" customWidth="1"/>
    <col min="10" max="10" width="15.5703125" style="47" bestFit="1" customWidth="1"/>
    <col min="11" max="16384" width="11.42578125" style="47"/>
  </cols>
  <sheetData>
    <row r="1" spans="1:10" x14ac:dyDescent="0.2">
      <c r="A1" s="46"/>
      <c r="B1" s="46"/>
      <c r="C1" s="46"/>
    </row>
    <row r="2" spans="1:10" ht="15.75" x14ac:dyDescent="0.25">
      <c r="A2" s="46"/>
      <c r="B2" s="102" t="s">
        <v>24</v>
      </c>
      <c r="C2" s="103"/>
      <c r="D2" s="103"/>
      <c r="E2" s="103"/>
      <c r="F2" s="103"/>
      <c r="G2" s="103"/>
      <c r="H2" s="103"/>
      <c r="I2" s="104"/>
    </row>
    <row r="3" spans="1:10" ht="15.75" x14ac:dyDescent="0.25">
      <c r="A3" s="46"/>
      <c r="B3" s="105" t="s">
        <v>110</v>
      </c>
      <c r="C3" s="106"/>
      <c r="D3" s="106"/>
      <c r="E3" s="106"/>
      <c r="F3" s="106"/>
      <c r="G3" s="106"/>
      <c r="H3" s="106"/>
      <c r="I3" s="107"/>
    </row>
    <row r="4" spans="1:10" ht="15.75" x14ac:dyDescent="0.25">
      <c r="A4" s="46"/>
      <c r="B4" s="105" t="s">
        <v>111</v>
      </c>
      <c r="C4" s="106"/>
      <c r="D4" s="106"/>
      <c r="E4" s="106"/>
      <c r="F4" s="106"/>
      <c r="G4" s="106"/>
      <c r="H4" s="106"/>
      <c r="I4" s="107"/>
    </row>
    <row r="5" spans="1:10" ht="15.75" x14ac:dyDescent="0.25">
      <c r="A5" s="46"/>
      <c r="B5" s="105" t="s">
        <v>129</v>
      </c>
      <c r="C5" s="106"/>
      <c r="D5" s="106"/>
      <c r="E5" s="106"/>
      <c r="F5" s="106"/>
      <c r="G5" s="106"/>
      <c r="H5" s="106"/>
      <c r="I5" s="107"/>
    </row>
    <row r="6" spans="1:10" ht="18.75" customHeight="1" x14ac:dyDescent="0.25">
      <c r="A6" s="46"/>
      <c r="B6" s="71"/>
      <c r="C6" s="72"/>
      <c r="D6" s="72"/>
      <c r="E6" s="72"/>
      <c r="F6" s="72"/>
      <c r="G6" s="72"/>
      <c r="H6" s="72"/>
      <c r="I6" s="73"/>
    </row>
    <row r="7" spans="1:10" ht="15" customHeight="1" x14ac:dyDescent="0.25">
      <c r="A7" s="46"/>
      <c r="B7" s="74"/>
      <c r="C7" s="75"/>
      <c r="D7" s="75"/>
      <c r="E7" s="75"/>
      <c r="F7" s="75"/>
      <c r="G7" s="75"/>
      <c r="H7" s="75"/>
      <c r="I7" s="76"/>
    </row>
    <row r="8" spans="1:10" x14ac:dyDescent="0.2">
      <c r="A8" s="46"/>
      <c r="B8" s="46"/>
      <c r="C8" s="48"/>
    </row>
    <row r="9" spans="1:10" x14ac:dyDescent="0.2">
      <c r="A9" s="46"/>
      <c r="B9" s="108" t="s">
        <v>112</v>
      </c>
      <c r="C9" s="109"/>
      <c r="D9" s="114" t="s">
        <v>113</v>
      </c>
      <c r="E9" s="114"/>
      <c r="F9" s="114"/>
      <c r="G9" s="114"/>
      <c r="H9" s="115"/>
      <c r="I9" s="116" t="s">
        <v>114</v>
      </c>
    </row>
    <row r="10" spans="1:10" x14ac:dyDescent="0.2">
      <c r="B10" s="110"/>
      <c r="C10" s="111"/>
      <c r="D10" s="117" t="s">
        <v>115</v>
      </c>
      <c r="E10" s="118" t="s">
        <v>116</v>
      </c>
      <c r="F10" s="101" t="s">
        <v>117</v>
      </c>
      <c r="G10" s="101" t="s">
        <v>21</v>
      </c>
      <c r="H10" s="101" t="s">
        <v>23</v>
      </c>
      <c r="I10" s="101"/>
    </row>
    <row r="11" spans="1:10" x14ac:dyDescent="0.2">
      <c r="B11" s="110"/>
      <c r="C11" s="111"/>
      <c r="D11" s="117"/>
      <c r="E11" s="118"/>
      <c r="F11" s="101"/>
      <c r="G11" s="101"/>
      <c r="H11" s="101"/>
      <c r="I11" s="101"/>
    </row>
    <row r="12" spans="1:10" x14ac:dyDescent="0.2">
      <c r="B12" s="112"/>
      <c r="C12" s="113"/>
      <c r="D12" s="49">
        <v>1</v>
      </c>
      <c r="E12" s="50">
        <v>2</v>
      </c>
      <c r="F12" s="50" t="s">
        <v>118</v>
      </c>
      <c r="G12" s="50">
        <v>4</v>
      </c>
      <c r="H12" s="50">
        <v>5</v>
      </c>
      <c r="I12" s="51" t="s">
        <v>119</v>
      </c>
    </row>
    <row r="13" spans="1:10" x14ac:dyDescent="0.2">
      <c r="B13" s="52"/>
      <c r="C13" s="53"/>
      <c r="D13" s="62"/>
      <c r="E13" s="62"/>
      <c r="F13" s="62"/>
      <c r="G13" s="63"/>
      <c r="H13" s="62"/>
      <c r="I13" s="64"/>
    </row>
    <row r="14" spans="1:10" x14ac:dyDescent="0.2">
      <c r="B14" s="54"/>
      <c r="C14" s="61" t="s">
        <v>121</v>
      </c>
      <c r="D14" s="65">
        <v>236181008.43000001</v>
      </c>
      <c r="E14" s="65">
        <v>-10040361.370000005</v>
      </c>
      <c r="F14" s="65">
        <v>226140647.06</v>
      </c>
      <c r="G14" s="66">
        <v>111471510.38000001</v>
      </c>
      <c r="H14" s="65">
        <v>110496784.76000001</v>
      </c>
      <c r="I14" s="67">
        <v>114669136.67999999</v>
      </c>
      <c r="J14" s="89"/>
    </row>
    <row r="15" spans="1:10" x14ac:dyDescent="0.2">
      <c r="B15" s="54"/>
      <c r="C15" s="56"/>
      <c r="D15" s="68"/>
      <c r="E15" s="68"/>
      <c r="F15" s="68"/>
      <c r="G15" s="69"/>
      <c r="H15" s="68"/>
      <c r="I15" s="70"/>
    </row>
    <row r="16" spans="1:10" x14ac:dyDescent="0.2">
      <c r="B16" s="54"/>
      <c r="C16" s="55"/>
      <c r="D16" s="68"/>
      <c r="E16" s="68"/>
      <c r="F16" s="68"/>
      <c r="G16" s="69"/>
      <c r="H16" s="68"/>
      <c r="I16" s="70"/>
    </row>
    <row r="17" spans="2:9" x14ac:dyDescent="0.2">
      <c r="B17" s="54"/>
      <c r="C17" s="55"/>
      <c r="D17" s="68"/>
      <c r="E17" s="68"/>
      <c r="F17" s="68"/>
      <c r="G17" s="69"/>
      <c r="H17" s="68"/>
      <c r="I17" s="70"/>
    </row>
    <row r="18" spans="2:9" x14ac:dyDescent="0.2">
      <c r="B18" s="54"/>
      <c r="C18" s="55"/>
      <c r="D18" s="68"/>
      <c r="E18" s="68"/>
      <c r="F18" s="68"/>
      <c r="G18" s="69"/>
      <c r="H18" s="68"/>
      <c r="I18" s="70"/>
    </row>
    <row r="19" spans="2:9" x14ac:dyDescent="0.2">
      <c r="B19" s="54"/>
      <c r="C19" s="57"/>
      <c r="D19" s="68"/>
      <c r="E19" s="68"/>
      <c r="F19" s="68"/>
      <c r="G19" s="69"/>
      <c r="H19" s="68"/>
      <c r="I19" s="70"/>
    </row>
    <row r="20" spans="2:9" x14ac:dyDescent="0.2">
      <c r="B20" s="54"/>
      <c r="C20" s="57"/>
      <c r="D20" s="68"/>
      <c r="E20" s="68"/>
      <c r="F20" s="68"/>
      <c r="G20" s="69"/>
      <c r="H20" s="68"/>
      <c r="I20" s="70"/>
    </row>
    <row r="21" spans="2:9" x14ac:dyDescent="0.2">
      <c r="B21" s="54"/>
      <c r="C21" s="58"/>
      <c r="D21" s="68"/>
      <c r="E21" s="68"/>
      <c r="F21" s="68"/>
      <c r="G21" s="69"/>
      <c r="H21" s="68"/>
      <c r="I21" s="70"/>
    </row>
    <row r="22" spans="2:9" x14ac:dyDescent="0.2">
      <c r="B22" s="54"/>
      <c r="D22" s="68"/>
      <c r="E22" s="68"/>
      <c r="F22" s="68"/>
      <c r="G22" s="69"/>
      <c r="H22" s="68"/>
      <c r="I22" s="70"/>
    </row>
    <row r="23" spans="2:9" x14ac:dyDescent="0.2">
      <c r="B23" s="59"/>
      <c r="C23" s="60" t="s">
        <v>120</v>
      </c>
      <c r="D23" s="80">
        <v>236181008.43000001</v>
      </c>
      <c r="E23" s="80">
        <v>-10040361.370000005</v>
      </c>
      <c r="F23" s="80">
        <v>226140647.06</v>
      </c>
      <c r="G23" s="80">
        <v>111471510.38000001</v>
      </c>
      <c r="H23" s="80">
        <v>110496784.76000001</v>
      </c>
      <c r="I23" s="80">
        <v>114669136.67999999</v>
      </c>
    </row>
    <row r="24" spans="2:9" x14ac:dyDescent="0.2">
      <c r="F24" s="92"/>
      <c r="G24" s="92"/>
      <c r="H24" s="89"/>
    </row>
    <row r="25" spans="2:9" x14ac:dyDescent="0.2">
      <c r="F25" s="92"/>
      <c r="G25" s="92"/>
    </row>
    <row r="26" spans="2:9" x14ac:dyDescent="0.2">
      <c r="F26" s="94"/>
      <c r="G26" s="94"/>
    </row>
    <row r="27" spans="2:9" x14ac:dyDescent="0.2">
      <c r="F27" s="94"/>
      <c r="G27" s="94"/>
    </row>
    <row r="28" spans="2:9" ht="15" x14ac:dyDescent="0.25">
      <c r="C28" s="138" t="s">
        <v>130</v>
      </c>
      <c r="D28" s="138"/>
      <c r="E28" s="138"/>
      <c r="F28" s="139"/>
      <c r="G28" s="140"/>
      <c r="I28" s="92"/>
    </row>
    <row r="29" spans="2:9" ht="15" x14ac:dyDescent="0.25">
      <c r="C29" s="141"/>
      <c r="D29" s="141"/>
      <c r="E29" s="141"/>
      <c r="F29" s="142"/>
      <c r="G29" s="140"/>
      <c r="I29" s="89"/>
    </row>
    <row r="30" spans="2:9" ht="15" x14ac:dyDescent="0.25">
      <c r="C30" s="141"/>
      <c r="D30" s="141"/>
      <c r="E30" s="141"/>
      <c r="F30" s="142"/>
      <c r="G30" s="140"/>
    </row>
    <row r="31" spans="2:9" ht="15" x14ac:dyDescent="0.25">
      <c r="C31" s="143" t="s">
        <v>131</v>
      </c>
      <c r="D31" s="144" t="s">
        <v>132</v>
      </c>
      <c r="E31" s="145"/>
      <c r="F31" s="146"/>
      <c r="G31" s="147" t="s">
        <v>133</v>
      </c>
    </row>
    <row r="32" spans="2:9" ht="15" x14ac:dyDescent="0.25">
      <c r="C32" s="144"/>
      <c r="D32" s="143"/>
      <c r="E32" s="148"/>
      <c r="F32" s="146"/>
      <c r="G32" s="144"/>
    </row>
    <row r="33" spans="3:7" ht="15" x14ac:dyDescent="0.25">
      <c r="C33" s="143"/>
      <c r="D33" s="143"/>
      <c r="E33" s="148"/>
      <c r="F33" s="146"/>
      <c r="G33" s="144"/>
    </row>
    <row r="34" spans="3:7" ht="15" x14ac:dyDescent="0.25">
      <c r="C34" s="143" t="s">
        <v>134</v>
      </c>
      <c r="D34" s="143" t="s">
        <v>135</v>
      </c>
      <c r="E34" s="148"/>
      <c r="F34" s="146"/>
      <c r="G34" s="144" t="s">
        <v>136</v>
      </c>
    </row>
    <row r="35" spans="3:7" ht="15" x14ac:dyDescent="0.25">
      <c r="C35" s="143" t="s">
        <v>137</v>
      </c>
      <c r="D35" s="143" t="s">
        <v>138</v>
      </c>
      <c r="E35" s="148"/>
      <c r="F35" s="143"/>
      <c r="G35" s="143" t="s">
        <v>139</v>
      </c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7"/>
  <sheetViews>
    <sheetView view="pageBreakPreview" zoomScale="60" zoomScaleNormal="80" workbookViewId="0">
      <pane ySplit="7" topLeftCell="A8" activePane="bottomLeft" state="frozen"/>
      <selection activeCell="F31" sqref="F31"/>
      <selection pane="bottomLeft" activeCell="I36" sqref="I36"/>
    </sheetView>
  </sheetViews>
  <sheetFormatPr baseColWidth="10" defaultColWidth="11.42578125" defaultRowHeight="12.75" x14ac:dyDescent="0.2"/>
  <cols>
    <col min="1" max="1" width="3.42578125" style="2" customWidth="1"/>
    <col min="2" max="2" width="7.28515625" style="2" customWidth="1"/>
    <col min="3" max="3" width="42.140625" style="2" customWidth="1"/>
    <col min="4" max="4" width="15.85546875" style="2" bestFit="1" customWidth="1"/>
    <col min="5" max="5" width="16.85546875" style="2" customWidth="1"/>
    <col min="6" max="9" width="15.7109375" style="2" bestFit="1" customWidth="1"/>
    <col min="10" max="16384" width="11.42578125" style="2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19" t="s">
        <v>24</v>
      </c>
      <c r="C2" s="120"/>
      <c r="D2" s="120"/>
      <c r="E2" s="120"/>
      <c r="F2" s="120"/>
      <c r="G2" s="120"/>
      <c r="H2" s="120"/>
      <c r="I2" s="121"/>
    </row>
    <row r="3" spans="1:9" ht="15.75" x14ac:dyDescent="0.25">
      <c r="A3" s="1"/>
      <c r="B3" s="122" t="s">
        <v>110</v>
      </c>
      <c r="C3" s="123"/>
      <c r="D3" s="123"/>
      <c r="E3" s="123"/>
      <c r="F3" s="123"/>
      <c r="G3" s="123"/>
      <c r="H3" s="123"/>
      <c r="I3" s="124"/>
    </row>
    <row r="4" spans="1:9" ht="15.75" x14ac:dyDescent="0.25">
      <c r="A4" s="1"/>
      <c r="B4" s="122" t="s">
        <v>122</v>
      </c>
      <c r="C4" s="123"/>
      <c r="D4" s="123"/>
      <c r="E4" s="123"/>
      <c r="F4" s="123"/>
      <c r="G4" s="123"/>
      <c r="H4" s="123"/>
      <c r="I4" s="124"/>
    </row>
    <row r="5" spans="1:9" ht="15.75" x14ac:dyDescent="0.25">
      <c r="A5" s="1"/>
      <c r="B5" s="122" t="s">
        <v>129</v>
      </c>
      <c r="C5" s="123"/>
      <c r="D5" s="123"/>
      <c r="E5" s="123"/>
      <c r="F5" s="123"/>
      <c r="G5" s="123"/>
      <c r="H5" s="123"/>
      <c r="I5" s="124"/>
    </row>
    <row r="6" spans="1:9" s="4" customFormat="1" ht="16.5" thickBot="1" x14ac:dyDescent="0.3">
      <c r="A6" s="1"/>
      <c r="B6" s="125"/>
      <c r="C6" s="126"/>
      <c r="D6" s="126"/>
      <c r="E6" s="126"/>
      <c r="F6" s="126"/>
      <c r="G6" s="126"/>
      <c r="H6" s="126"/>
      <c r="I6" s="127"/>
    </row>
    <row r="7" spans="1:9" ht="49.5" customHeight="1" x14ac:dyDescent="0.2">
      <c r="A7" s="1"/>
      <c r="B7" s="1"/>
      <c r="C7" s="1"/>
      <c r="D7" s="3"/>
      <c r="E7" s="3"/>
      <c r="F7" s="3"/>
      <c r="G7" s="3"/>
      <c r="H7" s="1"/>
      <c r="I7" s="1"/>
    </row>
    <row r="8" spans="1:9" s="6" customFormat="1" ht="39.75" customHeight="1" x14ac:dyDescent="0.25">
      <c r="A8" s="5"/>
      <c r="B8" s="108" t="s">
        <v>112</v>
      </c>
      <c r="C8" s="109"/>
      <c r="D8" s="114" t="s">
        <v>113</v>
      </c>
      <c r="E8" s="114"/>
      <c r="F8" s="114"/>
      <c r="G8" s="114"/>
      <c r="H8" s="115"/>
      <c r="I8" s="116" t="s">
        <v>114</v>
      </c>
    </row>
    <row r="9" spans="1:9" s="11" customFormat="1" ht="12.75" customHeight="1" x14ac:dyDescent="0.2">
      <c r="A9" s="7"/>
      <c r="B9" s="110"/>
      <c r="C9" s="111"/>
      <c r="D9" s="117" t="s">
        <v>115</v>
      </c>
      <c r="E9" s="118" t="s">
        <v>116</v>
      </c>
      <c r="F9" s="101" t="s">
        <v>117</v>
      </c>
      <c r="G9" s="101" t="s">
        <v>21</v>
      </c>
      <c r="H9" s="101" t="s">
        <v>23</v>
      </c>
      <c r="I9" s="101"/>
    </row>
    <row r="10" spans="1:9" s="11" customFormat="1" ht="12.75" customHeight="1" x14ac:dyDescent="0.2">
      <c r="A10" s="7"/>
      <c r="B10" s="110"/>
      <c r="C10" s="111"/>
      <c r="D10" s="117"/>
      <c r="E10" s="118"/>
      <c r="F10" s="101"/>
      <c r="G10" s="101"/>
      <c r="H10" s="101"/>
      <c r="I10" s="101"/>
    </row>
    <row r="11" spans="1:9" s="15" customFormat="1" ht="27.95" customHeight="1" thickBot="1" x14ac:dyDescent="0.3">
      <c r="A11" s="12"/>
      <c r="B11" s="112"/>
      <c r="C11" s="113"/>
      <c r="D11" s="49">
        <v>1</v>
      </c>
      <c r="E11" s="50">
        <v>2</v>
      </c>
      <c r="F11" s="50" t="s">
        <v>118</v>
      </c>
      <c r="G11" s="50">
        <v>4</v>
      </c>
      <c r="H11" s="50">
        <v>5</v>
      </c>
      <c r="I11" s="51" t="s">
        <v>119</v>
      </c>
    </row>
    <row r="12" spans="1:9" s="15" customFormat="1" ht="27.95" customHeight="1" x14ac:dyDescent="0.25">
      <c r="A12" s="12"/>
      <c r="B12" s="27"/>
      <c r="C12" s="13" t="s">
        <v>30</v>
      </c>
      <c r="D12" s="14">
        <v>232535841.43000001</v>
      </c>
      <c r="E12" s="14">
        <v>-10040361.370000001</v>
      </c>
      <c r="F12" s="14">
        <v>222495480.06</v>
      </c>
      <c r="G12" s="14">
        <v>110740879.94</v>
      </c>
      <c r="H12" s="14">
        <v>109781754.31999999</v>
      </c>
      <c r="I12" s="21">
        <v>111754600.12</v>
      </c>
    </row>
    <row r="13" spans="1:9" s="15" customFormat="1" ht="27.95" customHeight="1" x14ac:dyDescent="0.25">
      <c r="A13" s="12"/>
      <c r="B13" s="28"/>
      <c r="C13" s="22" t="s">
        <v>31</v>
      </c>
      <c r="D13" s="23">
        <v>3645167</v>
      </c>
      <c r="E13" s="23">
        <v>0</v>
      </c>
      <c r="F13" s="23">
        <v>3645167</v>
      </c>
      <c r="G13" s="23">
        <v>730630.44</v>
      </c>
      <c r="H13" s="23">
        <v>715030.44</v>
      </c>
      <c r="I13" s="24">
        <v>2914536.56</v>
      </c>
    </row>
    <row r="14" spans="1:9" s="15" customFormat="1" ht="27.75" customHeight="1" x14ac:dyDescent="0.25">
      <c r="A14" s="12"/>
      <c r="B14" s="77"/>
      <c r="C14" s="78" t="s">
        <v>32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24">
        <v>0</v>
      </c>
    </row>
    <row r="15" spans="1:9" ht="27.75" customHeight="1" thickBot="1" x14ac:dyDescent="0.25">
      <c r="A15" s="1"/>
      <c r="B15" s="29"/>
      <c r="C15" s="26" t="s">
        <v>123</v>
      </c>
      <c r="D15" s="20">
        <v>236181008.43000001</v>
      </c>
      <c r="E15" s="20">
        <v>-10040361.370000001</v>
      </c>
      <c r="F15" s="20">
        <v>226140647.06</v>
      </c>
      <c r="G15" s="20">
        <v>111471510.38</v>
      </c>
      <c r="H15" s="20">
        <v>110496784.75999999</v>
      </c>
      <c r="I15" s="20">
        <v>114669136.68000001</v>
      </c>
    </row>
    <row r="16" spans="1:9" x14ac:dyDescent="0.2">
      <c r="A16" s="1"/>
      <c r="B16" s="1"/>
      <c r="C16" s="1"/>
      <c r="D16" s="1"/>
      <c r="E16" s="1"/>
      <c r="F16" s="44"/>
      <c r="G16" s="44"/>
      <c r="H16" s="44"/>
      <c r="I16" s="1"/>
    </row>
    <row r="17" spans="1:9" x14ac:dyDescent="0.2">
      <c r="A17" s="1"/>
      <c r="B17" s="1"/>
      <c r="C17" s="1"/>
      <c r="D17" s="1"/>
      <c r="E17" s="1"/>
      <c r="F17" s="44"/>
      <c r="G17" s="44"/>
      <c r="H17" s="44"/>
      <c r="I17" s="1"/>
    </row>
    <row r="18" spans="1:9" x14ac:dyDescent="0.2">
      <c r="A18" s="1"/>
      <c r="B18" s="1"/>
      <c r="C18" s="1"/>
      <c r="D18" s="1"/>
      <c r="E18" s="1"/>
      <c r="F18" s="1"/>
      <c r="G18" s="44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5" x14ac:dyDescent="0.25">
      <c r="A20" s="1"/>
      <c r="B20" s="1"/>
      <c r="C20" s="138" t="s">
        <v>130</v>
      </c>
      <c r="D20" s="138"/>
      <c r="E20" s="138"/>
      <c r="F20" s="139"/>
      <c r="G20" s="140"/>
      <c r="H20" s="47"/>
      <c r="I20" s="1"/>
    </row>
    <row r="21" spans="1:9" ht="15" x14ac:dyDescent="0.25">
      <c r="B21" s="1"/>
      <c r="C21" s="141"/>
      <c r="D21" s="141"/>
      <c r="E21" s="141"/>
      <c r="F21" s="142"/>
      <c r="G21" s="140"/>
      <c r="H21" s="47"/>
      <c r="I21" s="1"/>
    </row>
    <row r="22" spans="1:9" ht="15" x14ac:dyDescent="0.25">
      <c r="C22" s="141"/>
      <c r="D22" s="141"/>
      <c r="E22" s="141"/>
      <c r="F22" s="142"/>
      <c r="G22" s="140"/>
      <c r="H22" s="47"/>
    </row>
    <row r="23" spans="1:9" ht="15" x14ac:dyDescent="0.25">
      <c r="C23" s="143" t="s">
        <v>131</v>
      </c>
      <c r="D23" s="144" t="s">
        <v>132</v>
      </c>
      <c r="E23" s="145"/>
      <c r="F23" s="146"/>
      <c r="G23" s="147" t="s">
        <v>133</v>
      </c>
      <c r="H23" s="47"/>
    </row>
    <row r="24" spans="1:9" ht="15" x14ac:dyDescent="0.25">
      <c r="C24" s="144"/>
      <c r="D24" s="143"/>
      <c r="E24" s="148"/>
      <c r="F24" s="146"/>
      <c r="G24" s="144"/>
      <c r="H24" s="47"/>
    </row>
    <row r="25" spans="1:9" ht="15" x14ac:dyDescent="0.25">
      <c r="C25" s="143"/>
      <c r="D25" s="143"/>
      <c r="E25" s="148"/>
      <c r="F25" s="146"/>
      <c r="G25" s="144"/>
      <c r="H25" s="47"/>
    </row>
    <row r="26" spans="1:9" ht="15" x14ac:dyDescent="0.25">
      <c r="C26" s="143" t="s">
        <v>134</v>
      </c>
      <c r="D26" s="143" t="s">
        <v>135</v>
      </c>
      <c r="E26" s="148"/>
      <c r="F26" s="146"/>
      <c r="G26" s="144" t="s">
        <v>136</v>
      </c>
      <c r="H26" s="47"/>
    </row>
    <row r="27" spans="1:9" ht="15" x14ac:dyDescent="0.25">
      <c r="C27" s="143" t="s">
        <v>137</v>
      </c>
      <c r="D27" s="143" t="s">
        <v>138</v>
      </c>
      <c r="E27" s="148"/>
      <c r="F27" s="143"/>
      <c r="G27" s="143" t="s">
        <v>139</v>
      </c>
      <c r="H27" s="47"/>
    </row>
  </sheetData>
  <mergeCells count="13">
    <mergeCell ref="B2:I2"/>
    <mergeCell ref="B3:I3"/>
    <mergeCell ref="B4:I4"/>
    <mergeCell ref="B5:I5"/>
    <mergeCell ref="B6:I6"/>
    <mergeCell ref="B8:C11"/>
    <mergeCell ref="D8:H8"/>
    <mergeCell ref="I8:I10"/>
    <mergeCell ref="D9:D10"/>
    <mergeCell ref="E9:E10"/>
    <mergeCell ref="F9:F10"/>
    <mergeCell ref="G9:G10"/>
    <mergeCell ref="H9:H10"/>
  </mergeCells>
  <printOptions horizontalCentered="1" verticalCentered="1"/>
  <pageMargins left="0.55118110236220474" right="0" top="0.98425196850393704" bottom="0.98425196850393704" header="0" footer="0"/>
  <pageSetup scale="6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96"/>
  <sheetViews>
    <sheetView view="pageBreakPreview" topLeftCell="A68" zoomScale="60" zoomScaleNormal="80" workbookViewId="0">
      <selection activeCell="E19" sqref="E19"/>
    </sheetView>
  </sheetViews>
  <sheetFormatPr baseColWidth="10" defaultColWidth="11.42578125" defaultRowHeight="12.75" x14ac:dyDescent="0.2"/>
  <cols>
    <col min="1" max="1" width="3.42578125" style="2" customWidth="1"/>
    <col min="2" max="2" width="4.42578125" style="2" customWidth="1"/>
    <col min="3" max="3" width="46" style="2" customWidth="1"/>
    <col min="4" max="4" width="15.85546875" style="2" bestFit="1" customWidth="1"/>
    <col min="5" max="5" width="15.7109375" style="2" bestFit="1" customWidth="1"/>
    <col min="6" max="6" width="16.7109375" style="2" bestFit="1" customWidth="1"/>
    <col min="7" max="9" width="15.7109375" style="2" bestFit="1" customWidth="1"/>
    <col min="10" max="10" width="4" style="2" customWidth="1"/>
    <col min="11" max="11" width="14.5703125" style="2" hidden="1" customWidth="1"/>
    <col min="12" max="12" width="12" style="2" hidden="1" customWidth="1"/>
    <col min="13" max="13" width="14.5703125" style="2" hidden="1" customWidth="1"/>
    <col min="14" max="14" width="15.7109375" style="2" hidden="1" customWidth="1"/>
    <col min="15" max="15" width="16.42578125" style="2" hidden="1" customWidth="1"/>
    <col min="16" max="16" width="17" style="2" hidden="1" customWidth="1"/>
    <col min="17" max="16384" width="11.42578125" style="2"/>
  </cols>
  <sheetData>
    <row r="1" spans="1:16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6" ht="15.75" x14ac:dyDescent="0.25">
      <c r="A2" s="1"/>
      <c r="B2" s="119" t="s">
        <v>24</v>
      </c>
      <c r="C2" s="120"/>
      <c r="D2" s="120"/>
      <c r="E2" s="120"/>
      <c r="F2" s="120"/>
      <c r="G2" s="120"/>
      <c r="H2" s="120"/>
      <c r="I2" s="121"/>
    </row>
    <row r="3" spans="1:16" ht="15.75" x14ac:dyDescent="0.25">
      <c r="A3" s="1"/>
      <c r="B3" s="122" t="s">
        <v>110</v>
      </c>
      <c r="C3" s="123"/>
      <c r="D3" s="123"/>
      <c r="E3" s="123"/>
      <c r="F3" s="123"/>
      <c r="G3" s="123"/>
      <c r="H3" s="123"/>
      <c r="I3" s="124"/>
    </row>
    <row r="4" spans="1:16" ht="15.75" x14ac:dyDescent="0.25">
      <c r="A4" s="1"/>
      <c r="B4" s="122" t="s">
        <v>124</v>
      </c>
      <c r="C4" s="123"/>
      <c r="D4" s="123"/>
      <c r="E4" s="123"/>
      <c r="F4" s="123"/>
      <c r="G4" s="123"/>
      <c r="H4" s="123"/>
      <c r="I4" s="124"/>
    </row>
    <row r="5" spans="1:16" ht="16.5" thickBot="1" x14ac:dyDescent="0.3">
      <c r="A5" s="1"/>
      <c r="B5" s="125" t="s">
        <v>129</v>
      </c>
      <c r="C5" s="126"/>
      <c r="D5" s="126"/>
      <c r="E5" s="126"/>
      <c r="F5" s="126"/>
      <c r="G5" s="126"/>
      <c r="H5" s="126"/>
      <c r="I5" s="127"/>
    </row>
    <row r="6" spans="1:16" s="4" customFormat="1" x14ac:dyDescent="0.2">
      <c r="A6" s="1"/>
      <c r="B6" s="1"/>
      <c r="C6" s="1"/>
      <c r="D6" s="3"/>
      <c r="E6" s="3"/>
      <c r="F6" s="3"/>
      <c r="G6" s="3"/>
      <c r="H6" s="1"/>
      <c r="I6" s="1"/>
    </row>
    <row r="7" spans="1:16" ht="33.75" customHeight="1" x14ac:dyDescent="0.2">
      <c r="A7" s="1"/>
      <c r="B7" s="108" t="s">
        <v>112</v>
      </c>
      <c r="C7" s="109"/>
      <c r="D7" s="114" t="s">
        <v>113</v>
      </c>
      <c r="E7" s="114"/>
      <c r="F7" s="114"/>
      <c r="G7" s="114"/>
      <c r="H7" s="115"/>
      <c r="I7" s="116" t="s">
        <v>114</v>
      </c>
      <c r="N7" s="95"/>
    </row>
    <row r="8" spans="1:16" ht="29.25" customHeight="1" x14ac:dyDescent="0.2">
      <c r="A8" s="1"/>
      <c r="B8" s="110"/>
      <c r="C8" s="111"/>
      <c r="D8" s="117" t="s">
        <v>115</v>
      </c>
      <c r="E8" s="118" t="s">
        <v>116</v>
      </c>
      <c r="F8" s="101" t="s">
        <v>117</v>
      </c>
      <c r="G8" s="101" t="s">
        <v>21</v>
      </c>
      <c r="H8" s="101" t="s">
        <v>23</v>
      </c>
      <c r="I8" s="101"/>
      <c r="N8" s="101" t="s">
        <v>22</v>
      </c>
      <c r="O8" s="101" t="s">
        <v>127</v>
      </c>
    </row>
    <row r="9" spans="1:16" ht="36.75" customHeight="1" x14ac:dyDescent="0.2">
      <c r="A9" s="1"/>
      <c r="B9" s="110"/>
      <c r="C9" s="111"/>
      <c r="D9" s="117"/>
      <c r="E9" s="118"/>
      <c r="F9" s="101"/>
      <c r="G9" s="101"/>
      <c r="H9" s="101"/>
      <c r="I9" s="101"/>
      <c r="N9" s="101"/>
      <c r="O9" s="101"/>
    </row>
    <row r="10" spans="1:16" s="6" customFormat="1" ht="27" customHeight="1" x14ac:dyDescent="0.25">
      <c r="A10" s="5"/>
      <c r="B10" s="112"/>
      <c r="C10" s="113"/>
      <c r="D10" s="49">
        <v>1</v>
      </c>
      <c r="E10" s="50">
        <v>2</v>
      </c>
      <c r="F10" s="50" t="s">
        <v>118</v>
      </c>
      <c r="G10" s="50">
        <v>4</v>
      </c>
      <c r="H10" s="50">
        <v>5</v>
      </c>
      <c r="I10" s="51" t="s">
        <v>119</v>
      </c>
      <c r="K10" s="98" t="s">
        <v>128</v>
      </c>
      <c r="N10" s="50">
        <v>4</v>
      </c>
      <c r="O10" s="50">
        <v>4</v>
      </c>
    </row>
    <row r="11" spans="1:16" s="11" customFormat="1" ht="13.5" thickBot="1" x14ac:dyDescent="0.25">
      <c r="A11" s="7"/>
      <c r="B11" s="8"/>
      <c r="C11" s="8"/>
      <c r="D11" s="9"/>
      <c r="E11" s="9"/>
      <c r="F11" s="9"/>
      <c r="G11" s="9"/>
      <c r="H11" s="10"/>
      <c r="I11" s="10"/>
      <c r="N11" s="9"/>
      <c r="O11" s="9"/>
    </row>
    <row r="12" spans="1:16" s="15" customFormat="1" ht="24.95" customHeight="1" x14ac:dyDescent="0.25">
      <c r="A12" s="12"/>
      <c r="B12" s="130" t="s">
        <v>0</v>
      </c>
      <c r="C12" s="131"/>
      <c r="D12" s="43">
        <v>147946740.88</v>
      </c>
      <c r="E12" s="43">
        <v>27176804.289999999</v>
      </c>
      <c r="F12" s="43">
        <v>175123545.16999999</v>
      </c>
      <c r="G12" s="43">
        <v>89031518.110000014</v>
      </c>
      <c r="H12" s="43">
        <v>88953491.780000001</v>
      </c>
      <c r="I12" s="21">
        <v>86092027.059999973</v>
      </c>
      <c r="K12" s="90">
        <f>+G12-H12</f>
        <v>78026.330000013113</v>
      </c>
      <c r="L12" s="88"/>
      <c r="N12" s="43" t="e">
        <f>SUM(N13:N19)</f>
        <v>#REF!</v>
      </c>
      <c r="O12" s="43" t="e">
        <f>SUM(O13:O19)</f>
        <v>#REF!</v>
      </c>
      <c r="P12" s="88" t="e">
        <f>+N12-G12</f>
        <v>#REF!</v>
      </c>
    </row>
    <row r="13" spans="1:16" s="15" customFormat="1" ht="25.5" x14ac:dyDescent="0.25">
      <c r="A13" s="12"/>
      <c r="B13" s="36"/>
      <c r="C13" s="19" t="s">
        <v>64</v>
      </c>
      <c r="D13" s="23">
        <v>74260842.089999989</v>
      </c>
      <c r="E13" s="23">
        <v>23517994.739999998</v>
      </c>
      <c r="F13" s="16">
        <v>97778836.829999983</v>
      </c>
      <c r="G13" s="23">
        <v>52420119.839999996</v>
      </c>
      <c r="H13" s="23">
        <v>52420119.839999996</v>
      </c>
      <c r="I13" s="24">
        <v>45358716.989999987</v>
      </c>
      <c r="K13" s="88">
        <f>+G13-H13</f>
        <v>0</v>
      </c>
      <c r="N13" s="23" t="e">
        <f>VLOOKUP("8.2.4.1.1000.1000.0000.0000.000.000                             ",BD,63,FALSE)</f>
        <v>#REF!</v>
      </c>
      <c r="O13" s="23" t="e">
        <f>+F13-N13</f>
        <v>#REF!</v>
      </c>
      <c r="P13" s="88" t="e">
        <f>+N13-G13</f>
        <v>#REF!</v>
      </c>
    </row>
    <row r="14" spans="1:16" s="15" customFormat="1" ht="25.5" x14ac:dyDescent="0.25">
      <c r="A14" s="12"/>
      <c r="B14" s="36"/>
      <c r="C14" s="19" t="s">
        <v>65</v>
      </c>
      <c r="D14" s="23">
        <v>18332.599999999999</v>
      </c>
      <c r="E14" s="23">
        <v>0</v>
      </c>
      <c r="F14" s="16">
        <v>18332.599999999999</v>
      </c>
      <c r="G14" s="23">
        <v>0</v>
      </c>
      <c r="H14" s="23">
        <v>0</v>
      </c>
      <c r="I14" s="24">
        <v>18332.599999999999</v>
      </c>
      <c r="K14" s="88">
        <f t="shared" ref="K14:K19" si="0">+G14-H14</f>
        <v>0</v>
      </c>
      <c r="N14" s="23" t="e">
        <f>VLOOKUP("8.2.4.1.1000.2000.0000.0000.000.000                             ",BD,63,FALSE)</f>
        <v>#REF!</v>
      </c>
      <c r="O14" s="23" t="e">
        <f t="shared" ref="O14:O39" si="1">+F14-N14</f>
        <v>#REF!</v>
      </c>
      <c r="P14" s="88" t="e">
        <f t="shared" ref="P14:P52" si="2">+N14-G14</f>
        <v>#REF!</v>
      </c>
    </row>
    <row r="15" spans="1:16" s="15" customFormat="1" ht="24.95" customHeight="1" x14ac:dyDescent="0.25">
      <c r="A15" s="12"/>
      <c r="B15" s="36"/>
      <c r="C15" s="19" t="s">
        <v>1</v>
      </c>
      <c r="D15" s="23">
        <v>49681621.239999995</v>
      </c>
      <c r="E15" s="23">
        <v>3658809.55</v>
      </c>
      <c r="F15" s="16">
        <v>53340430.789999992</v>
      </c>
      <c r="G15" s="23">
        <v>19986008.469999999</v>
      </c>
      <c r="H15" s="23">
        <v>19907982.139999997</v>
      </c>
      <c r="I15" s="24">
        <v>33354422.319999993</v>
      </c>
      <c r="K15" s="88">
        <f t="shared" si="0"/>
        <v>78026.330000001937</v>
      </c>
      <c r="N15" s="23" t="e">
        <f>VLOOKUP("8.2.4.1.1000.3000.0000.0000.000.000                             ",BD,63,FALSE)</f>
        <v>#REF!</v>
      </c>
      <c r="O15" s="23" t="e">
        <f t="shared" si="1"/>
        <v>#REF!</v>
      </c>
      <c r="P15" s="88" t="e">
        <f t="shared" si="2"/>
        <v>#REF!</v>
      </c>
    </row>
    <row r="16" spans="1:16" s="15" customFormat="1" ht="24.95" customHeight="1" x14ac:dyDescent="0.25">
      <c r="A16" s="12"/>
      <c r="B16" s="36"/>
      <c r="C16" s="19" t="s">
        <v>2</v>
      </c>
      <c r="D16" s="23">
        <v>20251387.52</v>
      </c>
      <c r="E16" s="23">
        <v>0</v>
      </c>
      <c r="F16" s="16">
        <v>20251387.52</v>
      </c>
      <c r="G16" s="23">
        <v>14018542.540000001</v>
      </c>
      <c r="H16" s="23">
        <v>14018542.540000001</v>
      </c>
      <c r="I16" s="24">
        <v>6232844.9799999986</v>
      </c>
      <c r="K16" s="88">
        <f t="shared" si="0"/>
        <v>0</v>
      </c>
      <c r="N16" s="23" t="e">
        <f>VLOOKUP("8.2.4.1.1000.4000.0000.0000.000.000                             ",BD,63,FALSE)</f>
        <v>#REF!</v>
      </c>
      <c r="O16" s="23" t="e">
        <f t="shared" si="1"/>
        <v>#REF!</v>
      </c>
      <c r="P16" s="88" t="e">
        <f t="shared" si="2"/>
        <v>#REF!</v>
      </c>
    </row>
    <row r="17" spans="1:16" s="15" customFormat="1" ht="24.95" customHeight="1" x14ac:dyDescent="0.25">
      <c r="A17" s="12"/>
      <c r="B17" s="36"/>
      <c r="C17" s="19" t="s">
        <v>3</v>
      </c>
      <c r="D17" s="23">
        <v>1682650.06</v>
      </c>
      <c r="E17" s="23">
        <v>0</v>
      </c>
      <c r="F17" s="16">
        <v>1682650.06</v>
      </c>
      <c r="G17" s="23">
        <v>1467448.42</v>
      </c>
      <c r="H17" s="23">
        <v>1467448.42</v>
      </c>
      <c r="I17" s="24">
        <v>215201.64000000013</v>
      </c>
      <c r="K17" s="88">
        <f t="shared" si="0"/>
        <v>0</v>
      </c>
      <c r="N17" s="23" t="e">
        <f>VLOOKUP("8.2.4.1.1000.5000.0000.0000.000.000                             ",BD,63,FALSE)</f>
        <v>#REF!</v>
      </c>
      <c r="O17" s="23" t="e">
        <f t="shared" si="1"/>
        <v>#REF!</v>
      </c>
      <c r="P17" s="88" t="e">
        <f t="shared" si="2"/>
        <v>#REF!</v>
      </c>
    </row>
    <row r="18" spans="1:16" s="15" customFormat="1" ht="24.95" customHeight="1" x14ac:dyDescent="0.25">
      <c r="A18" s="12"/>
      <c r="B18" s="36"/>
      <c r="C18" s="19" t="s">
        <v>4</v>
      </c>
      <c r="D18" s="23">
        <v>0</v>
      </c>
      <c r="E18" s="23">
        <v>0</v>
      </c>
      <c r="F18" s="16">
        <v>0</v>
      </c>
      <c r="G18" s="23">
        <v>0</v>
      </c>
      <c r="H18" s="23">
        <v>0</v>
      </c>
      <c r="I18" s="24">
        <v>0</v>
      </c>
      <c r="K18" s="88">
        <f t="shared" si="0"/>
        <v>0</v>
      </c>
      <c r="N18" s="23" t="e">
        <f>VLOOKUP("8.2.4.1.1000.6000.0000.0000.000.000                             ",BD,63,FALSE)</f>
        <v>#REF!</v>
      </c>
      <c r="O18" s="23" t="e">
        <f t="shared" si="1"/>
        <v>#REF!</v>
      </c>
      <c r="P18" s="88" t="e">
        <f t="shared" si="2"/>
        <v>#REF!</v>
      </c>
    </row>
    <row r="19" spans="1:16" s="15" customFormat="1" ht="24.95" customHeight="1" x14ac:dyDescent="0.25">
      <c r="A19" s="12"/>
      <c r="B19" s="36"/>
      <c r="C19" s="19" t="s">
        <v>5</v>
      </c>
      <c r="D19" s="23">
        <v>2051907.37</v>
      </c>
      <c r="E19" s="23">
        <v>0</v>
      </c>
      <c r="F19" s="16">
        <v>2051907.37</v>
      </c>
      <c r="G19" s="23">
        <v>1139398.8400000001</v>
      </c>
      <c r="H19" s="23">
        <v>1139398.8400000001</v>
      </c>
      <c r="I19" s="24">
        <v>912508.53</v>
      </c>
      <c r="K19" s="88">
        <f t="shared" si="0"/>
        <v>0</v>
      </c>
      <c r="N19" s="23" t="e">
        <f>VLOOKUP("8.2.4.1.1000.7000.0000.0000.000.000                             ",BD,63,FALSE)</f>
        <v>#REF!</v>
      </c>
      <c r="O19" s="23" t="e">
        <f t="shared" si="1"/>
        <v>#REF!</v>
      </c>
      <c r="P19" s="88" t="e">
        <f t="shared" si="2"/>
        <v>#REF!</v>
      </c>
    </row>
    <row r="20" spans="1:16" s="15" customFormat="1" ht="24.95" customHeight="1" x14ac:dyDescent="0.25">
      <c r="A20" s="12"/>
      <c r="B20" s="128" t="s">
        <v>6</v>
      </c>
      <c r="C20" s="129"/>
      <c r="D20" s="42">
        <v>18605279.239999998</v>
      </c>
      <c r="E20" s="42">
        <v>-9146905.4299999997</v>
      </c>
      <c r="F20" s="16">
        <v>9458373.8099999987</v>
      </c>
      <c r="G20" s="42">
        <v>6180472.7000000002</v>
      </c>
      <c r="H20" s="42">
        <v>5612896.0200000005</v>
      </c>
      <c r="I20" s="45">
        <v>3277901.1099999985</v>
      </c>
      <c r="K20" s="90">
        <f>+G20-H20</f>
        <v>567576.6799999997</v>
      </c>
      <c r="N20" s="42" t="e">
        <f>SUM(N21:N29)</f>
        <v>#REF!</v>
      </c>
      <c r="O20" s="42" t="e">
        <f>SUM(O21:O29)</f>
        <v>#REF!</v>
      </c>
      <c r="P20" s="88" t="e">
        <f t="shared" si="2"/>
        <v>#REF!</v>
      </c>
    </row>
    <row r="21" spans="1:16" s="15" customFormat="1" ht="25.5" x14ac:dyDescent="0.25">
      <c r="A21" s="12"/>
      <c r="B21" s="36"/>
      <c r="C21" s="19" t="s">
        <v>66</v>
      </c>
      <c r="D21" s="16">
        <v>7608267.5599999996</v>
      </c>
      <c r="E21" s="16">
        <v>-3697927.98</v>
      </c>
      <c r="F21" s="16">
        <v>3910339.5799999996</v>
      </c>
      <c r="G21" s="16">
        <v>3096552.2600000002</v>
      </c>
      <c r="H21" s="16">
        <v>2785789.9800000004</v>
      </c>
      <c r="I21" s="24">
        <v>813787.31999999937</v>
      </c>
      <c r="K21" s="88">
        <f t="shared" ref="K21:K29" si="3">+G21-H21</f>
        <v>310762.2799999998</v>
      </c>
      <c r="L21" s="15">
        <v>1</v>
      </c>
      <c r="M21" s="88">
        <f>10116686.17+83.38</f>
        <v>10116769.550000001</v>
      </c>
      <c r="N21" s="16" t="e">
        <f>VLOOKUP("8.2.4.1.2000.1000.0000.0000.000.000                             ",BD,63,FALSE)</f>
        <v>#REF!</v>
      </c>
      <c r="O21" s="23" t="e">
        <f t="shared" si="1"/>
        <v>#REF!</v>
      </c>
      <c r="P21" s="88" t="e">
        <f t="shared" si="2"/>
        <v>#REF!</v>
      </c>
    </row>
    <row r="22" spans="1:16" s="15" customFormat="1" ht="24.95" customHeight="1" x14ac:dyDescent="0.25">
      <c r="A22" s="12"/>
      <c r="B22" s="36"/>
      <c r="C22" s="19" t="s">
        <v>7</v>
      </c>
      <c r="D22" s="16">
        <v>3446788.84</v>
      </c>
      <c r="E22" s="16">
        <v>-1716572.85</v>
      </c>
      <c r="F22" s="16">
        <v>1730215.9899999998</v>
      </c>
      <c r="G22" s="16">
        <v>964006.66</v>
      </c>
      <c r="H22" s="16">
        <v>883188.66</v>
      </c>
      <c r="I22" s="24">
        <v>766209.32999999973</v>
      </c>
      <c r="K22" s="88">
        <f t="shared" si="3"/>
        <v>80818</v>
      </c>
      <c r="L22" s="15">
        <v>1</v>
      </c>
      <c r="N22" s="16" t="e">
        <f>VLOOKUP("8.2.4.1.2000.2000.0000.0000.000.000                             ",BD,63,FALSE)</f>
        <v>#REF!</v>
      </c>
      <c r="O22" s="23" t="e">
        <f t="shared" si="1"/>
        <v>#REF!</v>
      </c>
      <c r="P22" s="88" t="e">
        <f t="shared" si="2"/>
        <v>#REF!</v>
      </c>
    </row>
    <row r="23" spans="1:16" s="15" customFormat="1" ht="25.5" x14ac:dyDescent="0.25">
      <c r="A23" s="12"/>
      <c r="B23" s="36"/>
      <c r="C23" s="19" t="s">
        <v>67</v>
      </c>
      <c r="D23" s="16">
        <v>63100.58</v>
      </c>
      <c r="E23" s="16">
        <v>-31550.29</v>
      </c>
      <c r="F23" s="16">
        <v>31550.29</v>
      </c>
      <c r="G23" s="16">
        <v>6741.3600000000006</v>
      </c>
      <c r="H23" s="16">
        <v>6741.3600000000006</v>
      </c>
      <c r="I23" s="24">
        <v>24808.93</v>
      </c>
      <c r="K23" s="88">
        <f t="shared" si="3"/>
        <v>0</v>
      </c>
      <c r="L23" s="15">
        <v>1</v>
      </c>
      <c r="N23" s="16" t="e">
        <f>VLOOKUP("8.2.4.1.2000.3000.0000.0000.000.000                             ",BD,63,FALSE)</f>
        <v>#REF!</v>
      </c>
      <c r="O23" s="23" t="e">
        <f t="shared" si="1"/>
        <v>#REF!</v>
      </c>
      <c r="P23" s="88" t="e">
        <f t="shared" si="2"/>
        <v>#REF!</v>
      </c>
    </row>
    <row r="24" spans="1:16" s="15" customFormat="1" ht="25.5" x14ac:dyDescent="0.25">
      <c r="A24" s="12"/>
      <c r="B24" s="36"/>
      <c r="C24" s="19" t="s">
        <v>68</v>
      </c>
      <c r="D24" s="16">
        <v>355682.24</v>
      </c>
      <c r="E24" s="16">
        <v>-175982.79</v>
      </c>
      <c r="F24" s="16">
        <v>179699.44999999998</v>
      </c>
      <c r="G24" s="16">
        <v>138274.75</v>
      </c>
      <c r="H24" s="16">
        <v>138274.75</v>
      </c>
      <c r="I24" s="24">
        <v>41424.699999999983</v>
      </c>
      <c r="K24" s="88">
        <f t="shared" si="3"/>
        <v>0</v>
      </c>
      <c r="L24" s="15">
        <v>1</v>
      </c>
      <c r="N24" s="16" t="e">
        <f>VLOOKUP("8.2.4.1.2000.4000.0000.0000.000.000                             ",BD,63,FALSE)</f>
        <v>#REF!</v>
      </c>
      <c r="O24" s="23" t="e">
        <f t="shared" si="1"/>
        <v>#REF!</v>
      </c>
      <c r="P24" s="88" t="e">
        <f t="shared" si="2"/>
        <v>#REF!</v>
      </c>
    </row>
    <row r="25" spans="1:16" s="15" customFormat="1" ht="25.5" x14ac:dyDescent="0.25">
      <c r="A25" s="12"/>
      <c r="B25" s="36"/>
      <c r="C25" s="19" t="s">
        <v>69</v>
      </c>
      <c r="D25" s="16">
        <v>1688587.16</v>
      </c>
      <c r="E25" s="16">
        <v>-844293.58</v>
      </c>
      <c r="F25" s="16">
        <v>844293.58</v>
      </c>
      <c r="G25" s="16">
        <v>245481.16999999998</v>
      </c>
      <c r="H25" s="16">
        <v>148464.43999999997</v>
      </c>
      <c r="I25" s="24">
        <v>598812.40999999992</v>
      </c>
      <c r="K25" s="88">
        <f t="shared" si="3"/>
        <v>97016.73000000001</v>
      </c>
      <c r="L25" s="15">
        <v>1</v>
      </c>
      <c r="N25" s="16" t="e">
        <f>VLOOKUP("8.2.4.1.2000.5000.0000.0000.000.000                             ",BD,63,FALSE)</f>
        <v>#REF!</v>
      </c>
      <c r="O25" s="23" t="e">
        <f t="shared" si="1"/>
        <v>#REF!</v>
      </c>
      <c r="P25" s="88" t="e">
        <f t="shared" si="2"/>
        <v>#REF!</v>
      </c>
    </row>
    <row r="26" spans="1:16" s="15" customFormat="1" ht="24.95" customHeight="1" x14ac:dyDescent="0.25">
      <c r="A26" s="12"/>
      <c r="B26" s="36"/>
      <c r="C26" s="19" t="s">
        <v>8</v>
      </c>
      <c r="D26" s="16">
        <v>2220777.7799999998</v>
      </c>
      <c r="E26" s="16">
        <v>-1070388.8899999999</v>
      </c>
      <c r="F26" s="16">
        <v>1150388.8899999999</v>
      </c>
      <c r="G26" s="16">
        <v>906451.96</v>
      </c>
      <c r="H26" s="16">
        <v>906151.96000000008</v>
      </c>
      <c r="I26" s="24">
        <v>243936.92999999993</v>
      </c>
      <c r="K26" s="88">
        <f t="shared" si="3"/>
        <v>299.99999999988358</v>
      </c>
      <c r="N26" s="16" t="e">
        <f>VLOOKUP("8.2.4.1.2000.6000.0000.0000.000.000                             ",BD,63,FALSE)</f>
        <v>#REF!</v>
      </c>
      <c r="O26" s="23" t="e">
        <f t="shared" si="1"/>
        <v>#REF!</v>
      </c>
      <c r="P26" s="88" t="e">
        <f t="shared" si="2"/>
        <v>#REF!</v>
      </c>
    </row>
    <row r="27" spans="1:16" s="15" customFormat="1" ht="25.5" x14ac:dyDescent="0.25">
      <c r="A27" s="12"/>
      <c r="B27" s="36"/>
      <c r="C27" s="19" t="s">
        <v>70</v>
      </c>
      <c r="D27" s="16">
        <v>2555157.7000000002</v>
      </c>
      <c r="E27" s="16">
        <v>-1277578.8500000001</v>
      </c>
      <c r="F27" s="16">
        <v>1277578.8500000001</v>
      </c>
      <c r="G27" s="16">
        <v>484418.3</v>
      </c>
      <c r="H27" s="16">
        <v>463770.29999999993</v>
      </c>
      <c r="I27" s="24">
        <v>793160.55</v>
      </c>
      <c r="K27" s="88">
        <f t="shared" si="3"/>
        <v>20648.000000000058</v>
      </c>
      <c r="L27" s="15">
        <v>1</v>
      </c>
      <c r="N27" s="16" t="e">
        <f>VLOOKUP("8.2.4.1.2000.7000.0000.0000.000.000                             ",BD,63,FALSE)</f>
        <v>#REF!</v>
      </c>
      <c r="O27" s="23" t="e">
        <f t="shared" si="1"/>
        <v>#REF!</v>
      </c>
      <c r="P27" s="88" t="e">
        <f t="shared" si="2"/>
        <v>#REF!</v>
      </c>
    </row>
    <row r="28" spans="1:16" s="15" customFormat="1" ht="24.95" customHeight="1" x14ac:dyDescent="0.25">
      <c r="A28" s="12"/>
      <c r="B28" s="36"/>
      <c r="C28" s="19" t="s">
        <v>71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24">
        <v>0</v>
      </c>
      <c r="K28" s="88">
        <f t="shared" si="3"/>
        <v>0</v>
      </c>
      <c r="N28" s="16" t="e">
        <f>VLOOKUP("8.2.4.1.2000.8000.0000.0000.000.000                             ",BD,63,FALSE)</f>
        <v>#REF!</v>
      </c>
      <c r="O28" s="23" t="e">
        <f t="shared" si="1"/>
        <v>#REF!</v>
      </c>
      <c r="P28" s="88" t="e">
        <f t="shared" si="2"/>
        <v>#REF!</v>
      </c>
    </row>
    <row r="29" spans="1:16" s="15" customFormat="1" ht="19.5" customHeight="1" x14ac:dyDescent="0.25">
      <c r="A29" s="12"/>
      <c r="B29" s="36"/>
      <c r="C29" s="19" t="s">
        <v>72</v>
      </c>
      <c r="D29" s="16">
        <v>666917.38</v>
      </c>
      <c r="E29" s="16">
        <v>-332610.2</v>
      </c>
      <c r="F29" s="16">
        <v>334307.18</v>
      </c>
      <c r="G29" s="16">
        <v>338546.24000000005</v>
      </c>
      <c r="H29" s="16">
        <v>280514.57</v>
      </c>
      <c r="I29" s="24">
        <v>-4239.0600000000559</v>
      </c>
      <c r="K29" s="88">
        <f t="shared" si="3"/>
        <v>58031.670000000042</v>
      </c>
      <c r="L29" s="15">
        <v>1</v>
      </c>
      <c r="N29" s="16" t="e">
        <f>VLOOKUP("8.2.4.1.2000.9000.0000.0000.000.000                             ",BD,63,FALSE)</f>
        <v>#REF!</v>
      </c>
      <c r="O29" s="23" t="e">
        <f t="shared" si="1"/>
        <v>#REF!</v>
      </c>
      <c r="P29" s="88" t="e">
        <f t="shared" si="2"/>
        <v>#REF!</v>
      </c>
    </row>
    <row r="30" spans="1:16" s="15" customFormat="1" ht="24.95" customHeight="1" x14ac:dyDescent="0.25">
      <c r="A30" s="12"/>
      <c r="B30" s="128" t="s">
        <v>9</v>
      </c>
      <c r="C30" s="129"/>
      <c r="D30" s="42">
        <v>65983821.310000002</v>
      </c>
      <c r="E30" s="42">
        <v>-28070260.229999997</v>
      </c>
      <c r="F30" s="16">
        <v>37913561.080000006</v>
      </c>
      <c r="G30" s="42">
        <v>15528889.130000001</v>
      </c>
      <c r="H30" s="42">
        <v>15215366.520000001</v>
      </c>
      <c r="I30" s="24">
        <v>22384671.950000003</v>
      </c>
      <c r="K30" s="90">
        <f>+G30-H30</f>
        <v>313522.6099999994</v>
      </c>
      <c r="M30" s="88"/>
      <c r="N30" s="42" t="e">
        <f>SUM(N31:N39)</f>
        <v>#REF!</v>
      </c>
      <c r="O30" s="42" t="e">
        <f>SUM(O31:O39)</f>
        <v>#REF!</v>
      </c>
      <c r="P30" s="88" t="e">
        <f t="shared" si="2"/>
        <v>#REF!</v>
      </c>
    </row>
    <row r="31" spans="1:16" s="15" customFormat="1" ht="24.95" customHeight="1" x14ac:dyDescent="0.25">
      <c r="A31" s="12"/>
      <c r="B31" s="36"/>
      <c r="C31" s="19" t="s">
        <v>10</v>
      </c>
      <c r="D31" s="16">
        <v>5220118.8600000003</v>
      </c>
      <c r="E31" s="16">
        <v>-20605.369999999879</v>
      </c>
      <c r="F31" s="16">
        <v>5199513.49</v>
      </c>
      <c r="G31" s="16">
        <v>2289446.2199999997</v>
      </c>
      <c r="H31" s="16">
        <v>2241692.7400000002</v>
      </c>
      <c r="I31" s="24">
        <v>2910067.2700000005</v>
      </c>
      <c r="K31" s="88">
        <f t="shared" ref="K31:K39" si="4">+G31-H31</f>
        <v>47753.479999999516</v>
      </c>
      <c r="N31" s="16" t="e">
        <f>VLOOKUP("8.2.4.1.3000.1000.0000.0000.000.000                             ",BD,63,FALSE)</f>
        <v>#REF!</v>
      </c>
      <c r="O31" s="23" t="e">
        <f t="shared" si="1"/>
        <v>#REF!</v>
      </c>
      <c r="P31" s="88" t="e">
        <f t="shared" si="2"/>
        <v>#REF!</v>
      </c>
    </row>
    <row r="32" spans="1:16" s="15" customFormat="1" ht="24.95" customHeight="1" x14ac:dyDescent="0.25">
      <c r="A32" s="12"/>
      <c r="B32" s="36"/>
      <c r="C32" s="19" t="s">
        <v>11</v>
      </c>
      <c r="D32" s="16">
        <v>4875477.4400000004</v>
      </c>
      <c r="E32" s="16">
        <v>-2167243.5099999998</v>
      </c>
      <c r="F32" s="16">
        <v>2708233.9300000006</v>
      </c>
      <c r="G32" s="16">
        <v>657994.41</v>
      </c>
      <c r="H32" s="16">
        <v>651730.41</v>
      </c>
      <c r="I32" s="24">
        <v>2050239.5200000005</v>
      </c>
      <c r="K32" s="88">
        <f t="shared" si="4"/>
        <v>6264</v>
      </c>
      <c r="L32" s="15">
        <v>1</v>
      </c>
      <c r="N32" s="16" t="e">
        <f>VLOOKUP("8.2.4.1.3000.2000.0000.0000.000.000                             ",BD,63,FALSE)</f>
        <v>#REF!</v>
      </c>
      <c r="O32" s="23" t="e">
        <f t="shared" si="1"/>
        <v>#REF!</v>
      </c>
      <c r="P32" s="88" t="e">
        <f t="shared" si="2"/>
        <v>#REF!</v>
      </c>
    </row>
    <row r="33" spans="1:16" s="15" customFormat="1" ht="25.5" x14ac:dyDescent="0.25">
      <c r="A33" s="12"/>
      <c r="B33" s="36"/>
      <c r="C33" s="19" t="s">
        <v>73</v>
      </c>
      <c r="D33" s="16">
        <v>14465064.699999999</v>
      </c>
      <c r="E33" s="16">
        <v>-6988449.1799999997</v>
      </c>
      <c r="F33" s="16">
        <v>7476615.5199999996</v>
      </c>
      <c r="G33" s="16">
        <v>1650698.66</v>
      </c>
      <c r="H33" s="16">
        <v>1584373.2000000002</v>
      </c>
      <c r="I33" s="24">
        <v>5825916.8599999994</v>
      </c>
      <c r="K33" s="88">
        <f t="shared" si="4"/>
        <v>66325.45999999973</v>
      </c>
      <c r="L33" s="15">
        <v>1</v>
      </c>
      <c r="N33" s="16" t="e">
        <f>VLOOKUP("8.2.4.1.3000.3000.0000.0000.000.000                             ",BD,63,FALSE)</f>
        <v>#REF!</v>
      </c>
      <c r="O33" s="23" t="e">
        <f t="shared" si="1"/>
        <v>#REF!</v>
      </c>
      <c r="P33" s="88" t="e">
        <f t="shared" si="2"/>
        <v>#REF!</v>
      </c>
    </row>
    <row r="34" spans="1:16" s="15" customFormat="1" ht="22.5" customHeight="1" x14ac:dyDescent="0.25">
      <c r="A34" s="12"/>
      <c r="B34" s="36"/>
      <c r="C34" s="19" t="s">
        <v>12</v>
      </c>
      <c r="D34" s="16">
        <v>321915.68</v>
      </c>
      <c r="E34" s="16">
        <v>-115085.03</v>
      </c>
      <c r="F34" s="16">
        <v>206830.65</v>
      </c>
      <c r="G34" s="16">
        <v>207605.45</v>
      </c>
      <c r="H34" s="16">
        <v>207305.45</v>
      </c>
      <c r="I34" s="24">
        <v>-774.80000000001746</v>
      </c>
      <c r="K34" s="88">
        <f t="shared" si="4"/>
        <v>300</v>
      </c>
      <c r="L34" s="15">
        <v>1</v>
      </c>
      <c r="N34" s="16" t="e">
        <f>VLOOKUP("8.2.4.1.3000.4000.0000.0000.000.000                             ",BD,63,FALSE)</f>
        <v>#REF!</v>
      </c>
      <c r="O34" s="23" t="e">
        <f t="shared" si="1"/>
        <v>#REF!</v>
      </c>
      <c r="P34" s="88" t="e">
        <f t="shared" si="2"/>
        <v>#REF!</v>
      </c>
    </row>
    <row r="35" spans="1:16" s="15" customFormat="1" ht="25.5" x14ac:dyDescent="0.25">
      <c r="A35" s="12"/>
      <c r="B35" s="36"/>
      <c r="C35" s="19" t="s">
        <v>74</v>
      </c>
      <c r="D35" s="16">
        <v>22371909.420000002</v>
      </c>
      <c r="E35" s="16">
        <v>-11025464.630000001</v>
      </c>
      <c r="F35" s="16">
        <v>11346444.790000001</v>
      </c>
      <c r="G35" s="16">
        <v>2661194.19</v>
      </c>
      <c r="H35" s="16">
        <v>2557262.5199999996</v>
      </c>
      <c r="I35" s="24">
        <v>8685250.6000000015</v>
      </c>
      <c r="K35" s="88">
        <f t="shared" si="4"/>
        <v>103931.67000000039</v>
      </c>
      <c r="L35" s="15">
        <v>3</v>
      </c>
      <c r="N35" s="16" t="e">
        <f>VLOOKUP("8.2.4.1.3000.5000.0000.0000.000.000                             ",BD,63,FALSE)</f>
        <v>#REF!</v>
      </c>
      <c r="O35" s="23" t="e">
        <f t="shared" si="1"/>
        <v>#REF!</v>
      </c>
      <c r="P35" s="88" t="e">
        <f t="shared" si="2"/>
        <v>#REF!</v>
      </c>
    </row>
    <row r="36" spans="1:16" s="15" customFormat="1" ht="22.5" customHeight="1" x14ac:dyDescent="0.25">
      <c r="A36" s="12"/>
      <c r="B36" s="36"/>
      <c r="C36" s="19" t="s">
        <v>75</v>
      </c>
      <c r="D36" s="16">
        <v>2245271.2799999998</v>
      </c>
      <c r="E36" s="16">
        <v>-1122635.6399999999</v>
      </c>
      <c r="F36" s="16">
        <v>1122635.6399999999</v>
      </c>
      <c r="G36" s="16">
        <v>513401.19000000006</v>
      </c>
      <c r="H36" s="16">
        <v>437653.19000000006</v>
      </c>
      <c r="I36" s="24">
        <v>609234.44999999984</v>
      </c>
      <c r="K36" s="88">
        <f t="shared" si="4"/>
        <v>75748</v>
      </c>
      <c r="N36" s="16" t="e">
        <f>VLOOKUP("8.2.4.1.3000.6000.0000.0000.000.000                             ",BD,63,FALSE)</f>
        <v>#REF!</v>
      </c>
      <c r="O36" s="23" t="e">
        <f t="shared" si="1"/>
        <v>#REF!</v>
      </c>
      <c r="P36" s="88" t="e">
        <f t="shared" si="2"/>
        <v>#REF!</v>
      </c>
    </row>
    <row r="37" spans="1:16" s="15" customFormat="1" ht="24.95" customHeight="1" x14ac:dyDescent="0.25">
      <c r="A37" s="12"/>
      <c r="B37" s="36"/>
      <c r="C37" s="19" t="s">
        <v>13</v>
      </c>
      <c r="D37" s="16">
        <v>3037279.1</v>
      </c>
      <c r="E37" s="16">
        <v>-614662.02</v>
      </c>
      <c r="F37" s="16">
        <v>2422617.08</v>
      </c>
      <c r="G37" s="16">
        <v>1761386.6800000002</v>
      </c>
      <c r="H37" s="16">
        <v>1761386.6800000002</v>
      </c>
      <c r="I37" s="24">
        <v>661230.39999999991</v>
      </c>
      <c r="K37" s="88">
        <f t="shared" si="4"/>
        <v>0</v>
      </c>
      <c r="L37" s="15">
        <v>2</v>
      </c>
      <c r="N37" s="16" t="e">
        <f>VLOOKUP("8.2.4.1.3000.7000.0000.0000.000.000                             ",BD,63,FALSE)</f>
        <v>#REF!</v>
      </c>
      <c r="O37" s="23" t="e">
        <f t="shared" si="1"/>
        <v>#REF!</v>
      </c>
      <c r="P37" s="88" t="e">
        <f t="shared" si="2"/>
        <v>#REF!</v>
      </c>
    </row>
    <row r="38" spans="1:16" s="15" customFormat="1" ht="24.95" customHeight="1" x14ac:dyDescent="0.25">
      <c r="A38" s="12"/>
      <c r="B38" s="36"/>
      <c r="C38" s="19" t="s">
        <v>14</v>
      </c>
      <c r="D38" s="16">
        <v>8771246.9600000009</v>
      </c>
      <c r="E38" s="16">
        <v>-3959850.15</v>
      </c>
      <c r="F38" s="16">
        <v>4811396.8100000005</v>
      </c>
      <c r="G38" s="16">
        <v>3043704.43</v>
      </c>
      <c r="H38" s="16">
        <v>3030504.43</v>
      </c>
      <c r="I38" s="24">
        <v>1767692.3800000004</v>
      </c>
      <c r="K38" s="88">
        <f t="shared" si="4"/>
        <v>13200</v>
      </c>
      <c r="N38" s="16" t="e">
        <f>VLOOKUP("8.2.4.1.3000.8000.0000.0000.000.000                             ",BD,63,FALSE)</f>
        <v>#REF!</v>
      </c>
      <c r="O38" s="23" t="e">
        <f t="shared" si="1"/>
        <v>#REF!</v>
      </c>
      <c r="P38" s="88" t="e">
        <f t="shared" si="2"/>
        <v>#REF!</v>
      </c>
    </row>
    <row r="39" spans="1:16" s="15" customFormat="1" ht="24.95" customHeight="1" x14ac:dyDescent="0.25">
      <c r="A39" s="12"/>
      <c r="B39" s="36"/>
      <c r="C39" s="19" t="s">
        <v>15</v>
      </c>
      <c r="D39" s="16">
        <v>4675537.87</v>
      </c>
      <c r="E39" s="16">
        <v>-2056264.7</v>
      </c>
      <c r="F39" s="16">
        <v>2619273.17</v>
      </c>
      <c r="G39" s="16">
        <v>2743457.9000000004</v>
      </c>
      <c r="H39" s="16">
        <v>2743457.9000000004</v>
      </c>
      <c r="I39" s="24">
        <v>-124184.73000000045</v>
      </c>
      <c r="K39" s="88">
        <f t="shared" si="4"/>
        <v>0</v>
      </c>
      <c r="N39" s="16" t="e">
        <f>VLOOKUP("8.2.4.1.3000.9000.0000.0000.000.000                             ",BD,63,FALSE)</f>
        <v>#REF!</v>
      </c>
      <c r="O39" s="23" t="e">
        <f t="shared" si="1"/>
        <v>#REF!</v>
      </c>
      <c r="P39" s="88" t="e">
        <f t="shared" si="2"/>
        <v>#REF!</v>
      </c>
    </row>
    <row r="40" spans="1:16" s="15" customFormat="1" ht="24.95" hidden="1" customHeight="1" x14ac:dyDescent="0.25">
      <c r="A40" s="12"/>
      <c r="B40" s="128" t="s">
        <v>25</v>
      </c>
      <c r="C40" s="129"/>
      <c r="D40" s="16"/>
      <c r="E40" s="16"/>
      <c r="F40" s="16">
        <v>0</v>
      </c>
      <c r="G40" s="16"/>
      <c r="H40" s="16"/>
      <c r="I40" s="24">
        <v>0</v>
      </c>
      <c r="N40" s="16"/>
      <c r="O40" s="16"/>
      <c r="P40" s="88">
        <f t="shared" si="2"/>
        <v>0</v>
      </c>
    </row>
    <row r="41" spans="1:16" s="15" customFormat="1" ht="25.5" hidden="1" customHeight="1" x14ac:dyDescent="0.25">
      <c r="A41" s="12"/>
      <c r="B41" s="38"/>
      <c r="C41" s="41" t="s">
        <v>76</v>
      </c>
      <c r="D41" s="16"/>
      <c r="E41" s="16"/>
      <c r="F41" s="16">
        <v>0</v>
      </c>
      <c r="G41" s="16"/>
      <c r="H41" s="16"/>
      <c r="I41" s="24">
        <v>0</v>
      </c>
      <c r="N41" s="16"/>
      <c r="O41" s="16"/>
      <c r="P41" s="88">
        <f t="shared" si="2"/>
        <v>0</v>
      </c>
    </row>
    <row r="42" spans="1:16" s="15" customFormat="1" ht="24.95" hidden="1" customHeight="1" x14ac:dyDescent="0.25">
      <c r="A42" s="12"/>
      <c r="B42" s="38"/>
      <c r="C42" s="41" t="s">
        <v>77</v>
      </c>
      <c r="D42" s="16"/>
      <c r="E42" s="16"/>
      <c r="F42" s="16">
        <v>0</v>
      </c>
      <c r="G42" s="16"/>
      <c r="H42" s="16"/>
      <c r="I42" s="24">
        <v>0</v>
      </c>
      <c r="N42" s="16"/>
      <c r="O42" s="16"/>
      <c r="P42" s="88">
        <f t="shared" si="2"/>
        <v>0</v>
      </c>
    </row>
    <row r="43" spans="1:16" s="15" customFormat="1" ht="24.95" hidden="1" customHeight="1" x14ac:dyDescent="0.25">
      <c r="A43" s="12"/>
      <c r="B43" s="38"/>
      <c r="C43" s="41" t="s">
        <v>78</v>
      </c>
      <c r="D43" s="16"/>
      <c r="E43" s="16"/>
      <c r="F43" s="16">
        <v>0</v>
      </c>
      <c r="G43" s="16"/>
      <c r="H43" s="16"/>
      <c r="I43" s="24">
        <v>0</v>
      </c>
      <c r="N43" s="16"/>
      <c r="O43" s="16"/>
      <c r="P43" s="88">
        <f t="shared" si="2"/>
        <v>0</v>
      </c>
    </row>
    <row r="44" spans="1:16" s="15" customFormat="1" ht="24.95" hidden="1" customHeight="1" x14ac:dyDescent="0.25">
      <c r="A44" s="12"/>
      <c r="B44" s="38"/>
      <c r="C44" s="41" t="s">
        <v>79</v>
      </c>
      <c r="D44" s="16"/>
      <c r="E44" s="16"/>
      <c r="F44" s="16">
        <v>0</v>
      </c>
      <c r="G44" s="16"/>
      <c r="H44" s="16"/>
      <c r="I44" s="24">
        <v>0</v>
      </c>
      <c r="N44" s="16"/>
      <c r="O44" s="16"/>
      <c r="P44" s="88">
        <f t="shared" si="2"/>
        <v>0</v>
      </c>
    </row>
    <row r="45" spans="1:16" s="15" customFormat="1" ht="24.95" hidden="1" customHeight="1" x14ac:dyDescent="0.25">
      <c r="A45" s="12"/>
      <c r="B45" s="38"/>
      <c r="C45" s="41" t="s">
        <v>80</v>
      </c>
      <c r="D45" s="16"/>
      <c r="E45" s="16"/>
      <c r="F45" s="16">
        <v>0</v>
      </c>
      <c r="G45" s="16"/>
      <c r="H45" s="16"/>
      <c r="I45" s="24">
        <v>0</v>
      </c>
      <c r="N45" s="16"/>
      <c r="O45" s="16"/>
      <c r="P45" s="88">
        <f t="shared" si="2"/>
        <v>0</v>
      </c>
    </row>
    <row r="46" spans="1:16" s="15" customFormat="1" ht="25.5" hidden="1" customHeight="1" x14ac:dyDescent="0.25">
      <c r="A46" s="12"/>
      <c r="B46" s="38"/>
      <c r="C46" s="41" t="s">
        <v>81</v>
      </c>
      <c r="D46" s="16"/>
      <c r="E46" s="16"/>
      <c r="F46" s="16">
        <v>0</v>
      </c>
      <c r="G46" s="16"/>
      <c r="H46" s="16"/>
      <c r="I46" s="24">
        <v>0</v>
      </c>
      <c r="N46" s="16"/>
      <c r="O46" s="16"/>
      <c r="P46" s="88">
        <f t="shared" si="2"/>
        <v>0</v>
      </c>
    </row>
    <row r="47" spans="1:16" s="15" customFormat="1" ht="24.95" hidden="1" customHeight="1" x14ac:dyDescent="0.25">
      <c r="A47" s="12"/>
      <c r="B47" s="38"/>
      <c r="C47" s="41" t="s">
        <v>82</v>
      </c>
      <c r="D47" s="16"/>
      <c r="E47" s="16"/>
      <c r="F47" s="16">
        <v>0</v>
      </c>
      <c r="G47" s="16"/>
      <c r="H47" s="16"/>
      <c r="I47" s="24">
        <v>0</v>
      </c>
      <c r="N47" s="16"/>
      <c r="O47" s="16"/>
      <c r="P47" s="88">
        <f t="shared" si="2"/>
        <v>0</v>
      </c>
    </row>
    <row r="48" spans="1:16" s="15" customFormat="1" ht="24.95" hidden="1" customHeight="1" x14ac:dyDescent="0.25">
      <c r="A48" s="12"/>
      <c r="B48" s="38"/>
      <c r="C48" s="41" t="s">
        <v>83</v>
      </c>
      <c r="D48" s="16"/>
      <c r="E48" s="16"/>
      <c r="F48" s="16">
        <v>0</v>
      </c>
      <c r="G48" s="16"/>
      <c r="H48" s="16"/>
      <c r="I48" s="24">
        <v>0</v>
      </c>
      <c r="N48" s="16"/>
      <c r="O48" s="16"/>
      <c r="P48" s="88">
        <f t="shared" si="2"/>
        <v>0</v>
      </c>
    </row>
    <row r="49" spans="1:16" s="15" customFormat="1" ht="24.95" hidden="1" customHeight="1" x14ac:dyDescent="0.25">
      <c r="A49" s="12"/>
      <c r="B49" s="38"/>
      <c r="C49" s="41" t="s">
        <v>84</v>
      </c>
      <c r="D49" s="16"/>
      <c r="E49" s="16"/>
      <c r="F49" s="16">
        <v>0</v>
      </c>
      <c r="G49" s="16"/>
      <c r="H49" s="16"/>
      <c r="I49" s="24">
        <v>0</v>
      </c>
      <c r="N49" s="16"/>
      <c r="O49" s="16"/>
      <c r="P49" s="88">
        <f t="shared" si="2"/>
        <v>0</v>
      </c>
    </row>
    <row r="50" spans="1:16" s="15" customFormat="1" ht="24.95" customHeight="1" x14ac:dyDescent="0.25">
      <c r="A50" s="12"/>
      <c r="B50" s="128" t="s">
        <v>16</v>
      </c>
      <c r="C50" s="129"/>
      <c r="D50" s="42">
        <v>3645167</v>
      </c>
      <c r="E50" s="42">
        <v>0</v>
      </c>
      <c r="F50" s="16">
        <v>3645167</v>
      </c>
      <c r="G50" s="42">
        <v>730630.44</v>
      </c>
      <c r="H50" s="42">
        <v>715030.44</v>
      </c>
      <c r="I50" s="24">
        <v>2914536.56</v>
      </c>
      <c r="K50" s="90">
        <f>+G50-H50</f>
        <v>15600</v>
      </c>
      <c r="N50" s="42" t="e">
        <f>SUM(N51:N59)</f>
        <v>#REF!</v>
      </c>
      <c r="O50" s="42" t="e">
        <f>SUM(O51:O59)</f>
        <v>#REF!</v>
      </c>
      <c r="P50" s="88" t="e">
        <f>+N50-G50</f>
        <v>#REF!</v>
      </c>
    </row>
    <row r="51" spans="1:16" s="15" customFormat="1" ht="24.95" customHeight="1" x14ac:dyDescent="0.25">
      <c r="A51" s="12"/>
      <c r="B51" s="38"/>
      <c r="C51" s="41" t="s">
        <v>85</v>
      </c>
      <c r="D51" s="16">
        <v>1324026.42</v>
      </c>
      <c r="E51" s="16">
        <v>0</v>
      </c>
      <c r="F51" s="16">
        <v>1324026.42</v>
      </c>
      <c r="G51" s="16">
        <v>143039.24</v>
      </c>
      <c r="H51" s="16">
        <v>143039.24</v>
      </c>
      <c r="I51" s="24">
        <v>1180987.18</v>
      </c>
      <c r="K51" s="88">
        <f t="shared" ref="K51:K52" si="5">+G51-H51</f>
        <v>0</v>
      </c>
      <c r="L51" s="15">
        <v>3</v>
      </c>
      <c r="N51" s="16" t="e">
        <f>VLOOKUP("8.2.4.3.1000.0000.0000.0000.000.000                             ",BD,63,FALSE)</f>
        <v>#REF!</v>
      </c>
      <c r="O51" s="23" t="e">
        <f t="shared" ref="O51:O52" si="6">+F51-N51</f>
        <v>#REF!</v>
      </c>
      <c r="P51" s="88" t="e">
        <f t="shared" si="2"/>
        <v>#REF!</v>
      </c>
    </row>
    <row r="52" spans="1:16" s="15" customFormat="1" ht="24.95" customHeight="1" x14ac:dyDescent="0.25">
      <c r="A52" s="12"/>
      <c r="B52" s="38"/>
      <c r="C52" s="41" t="s">
        <v>17</v>
      </c>
      <c r="D52" s="16">
        <v>1647845.2</v>
      </c>
      <c r="E52" s="16">
        <v>0</v>
      </c>
      <c r="F52" s="16">
        <v>1647845.2</v>
      </c>
      <c r="G52" s="16">
        <v>12412</v>
      </c>
      <c r="H52" s="16">
        <v>12412</v>
      </c>
      <c r="I52" s="24">
        <v>1635433.2</v>
      </c>
      <c r="K52" s="88">
        <f t="shared" si="5"/>
        <v>0</v>
      </c>
      <c r="N52" s="16" t="e">
        <f>VLOOKUP("8.2.4.3.2000.0000.0000.0000.000.000                             ",BD,63,FALSE)</f>
        <v>#REF!</v>
      </c>
      <c r="O52" s="23" t="e">
        <f t="shared" si="6"/>
        <v>#REF!</v>
      </c>
      <c r="P52" s="88" t="e">
        <f t="shared" si="2"/>
        <v>#REF!</v>
      </c>
    </row>
    <row r="53" spans="1:16" s="15" customFormat="1" ht="24.95" customHeight="1" x14ac:dyDescent="0.25">
      <c r="A53" s="12"/>
      <c r="B53" s="38"/>
      <c r="C53" s="41" t="s">
        <v>86</v>
      </c>
      <c r="D53" s="16">
        <v>0</v>
      </c>
      <c r="E53" s="16">
        <v>0</v>
      </c>
      <c r="F53" s="16">
        <v>0</v>
      </c>
      <c r="G53" s="16">
        <v>266289.59999999998</v>
      </c>
      <c r="H53" s="16">
        <v>266289.59999999998</v>
      </c>
      <c r="I53" s="24">
        <v>-266289.59999999998</v>
      </c>
      <c r="K53" s="88">
        <f t="shared" ref="K53:K59" si="7">+G53-H53</f>
        <v>0</v>
      </c>
      <c r="N53" s="16" t="e">
        <f>VLOOKUP("8.2.4.3.3000.0000.0000.0000.000.000                             ",BD,63,FALSE)</f>
        <v>#REF!</v>
      </c>
      <c r="O53" s="23" t="e">
        <f t="shared" ref="O53:O59" si="8">+F53-N53</f>
        <v>#REF!</v>
      </c>
      <c r="P53" s="88" t="e">
        <f t="shared" ref="P53:P84" si="9">+N53-G53</f>
        <v>#REF!</v>
      </c>
    </row>
    <row r="54" spans="1:16" s="15" customFormat="1" ht="24.95" customHeight="1" x14ac:dyDescent="0.25">
      <c r="A54" s="12"/>
      <c r="B54" s="38"/>
      <c r="C54" s="41" t="s">
        <v>87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24">
        <v>0</v>
      </c>
      <c r="K54" s="88">
        <f t="shared" si="7"/>
        <v>0</v>
      </c>
      <c r="N54" s="16" t="e">
        <f>VLOOKUP("8.2.4.3.4000.0000.0000.0000.000.000                             ",BD,63,FALSE)</f>
        <v>#REF!</v>
      </c>
      <c r="O54" s="23" t="e">
        <f t="shared" si="8"/>
        <v>#REF!</v>
      </c>
      <c r="P54" s="88" t="e">
        <f t="shared" si="9"/>
        <v>#REF!</v>
      </c>
    </row>
    <row r="55" spans="1:16" s="15" customFormat="1" ht="24.95" customHeight="1" x14ac:dyDescent="0.25">
      <c r="A55" s="12"/>
      <c r="B55" s="38"/>
      <c r="C55" s="41" t="s">
        <v>88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24">
        <v>0</v>
      </c>
      <c r="K55" s="88">
        <f t="shared" si="7"/>
        <v>0</v>
      </c>
      <c r="N55" s="16" t="e">
        <f>VLOOKUP("8.2.4.3.5000.0000.0000.0000.000.000                             ",BD,63,FALSE)</f>
        <v>#REF!</v>
      </c>
      <c r="O55" s="23" t="e">
        <f t="shared" si="8"/>
        <v>#REF!</v>
      </c>
      <c r="P55" s="88" t="e">
        <f t="shared" si="9"/>
        <v>#REF!</v>
      </c>
    </row>
    <row r="56" spans="1:16" s="15" customFormat="1" ht="24.95" customHeight="1" x14ac:dyDescent="0.25">
      <c r="A56" s="12"/>
      <c r="B56" s="38"/>
      <c r="C56" s="41" t="s">
        <v>18</v>
      </c>
      <c r="D56" s="16">
        <v>0</v>
      </c>
      <c r="E56" s="16">
        <v>0</v>
      </c>
      <c r="F56" s="16">
        <v>0</v>
      </c>
      <c r="G56" s="16">
        <v>300827.59999999998</v>
      </c>
      <c r="H56" s="16">
        <v>285227.59999999998</v>
      </c>
      <c r="I56" s="24">
        <v>-300827.59999999998</v>
      </c>
      <c r="K56" s="88">
        <f t="shared" si="7"/>
        <v>15600</v>
      </c>
      <c r="N56" s="16" t="e">
        <f>VLOOKUP("8.2.4.3.6000.0000.0000.0000.000.000                             ",BD,63,FALSE)</f>
        <v>#REF!</v>
      </c>
      <c r="O56" s="23" t="e">
        <f t="shared" si="8"/>
        <v>#REF!</v>
      </c>
      <c r="P56" s="88" t="e">
        <f t="shared" si="9"/>
        <v>#REF!</v>
      </c>
    </row>
    <row r="57" spans="1:16" s="15" customFormat="1" ht="24.95" customHeight="1" x14ac:dyDescent="0.25">
      <c r="A57" s="12"/>
      <c r="B57" s="38"/>
      <c r="C57" s="41" t="s">
        <v>89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24">
        <v>0</v>
      </c>
      <c r="K57" s="88">
        <f t="shared" si="7"/>
        <v>0</v>
      </c>
      <c r="N57" s="16" t="e">
        <f>VLOOKUP("8.2.4.3.7000.0000.0000.0000.000.000                             ",BD,63,FALSE)</f>
        <v>#REF!</v>
      </c>
      <c r="O57" s="23" t="e">
        <f t="shared" si="8"/>
        <v>#REF!</v>
      </c>
      <c r="P57" s="88" t="e">
        <f t="shared" si="9"/>
        <v>#REF!</v>
      </c>
    </row>
    <row r="58" spans="1:16" s="15" customFormat="1" ht="24.95" customHeight="1" x14ac:dyDescent="0.25">
      <c r="A58" s="12"/>
      <c r="B58" s="38"/>
      <c r="C58" s="41" t="s">
        <v>19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24">
        <v>0</v>
      </c>
      <c r="K58" s="88">
        <f t="shared" si="7"/>
        <v>0</v>
      </c>
      <c r="N58" s="99" t="e">
        <f>VLOOKUP("8.2.4.3.8000.0000.0000.0000.000.000                             ",BD,63,FALSE)</f>
        <v>#REF!</v>
      </c>
      <c r="O58" s="23" t="e">
        <f t="shared" si="8"/>
        <v>#REF!</v>
      </c>
      <c r="P58" s="88" t="e">
        <f t="shared" si="9"/>
        <v>#REF!</v>
      </c>
    </row>
    <row r="59" spans="1:16" s="15" customFormat="1" ht="24.95" customHeight="1" x14ac:dyDescent="0.25">
      <c r="A59" s="12"/>
      <c r="B59" s="38"/>
      <c r="C59" s="41" t="s">
        <v>20</v>
      </c>
      <c r="D59" s="16">
        <v>673295.38</v>
      </c>
      <c r="E59" s="16">
        <v>0</v>
      </c>
      <c r="F59" s="16">
        <v>673295.38</v>
      </c>
      <c r="G59" s="16">
        <v>8062</v>
      </c>
      <c r="H59" s="16">
        <v>8062</v>
      </c>
      <c r="I59" s="24">
        <v>665233.38</v>
      </c>
      <c r="K59" s="88">
        <f t="shared" si="7"/>
        <v>0</v>
      </c>
      <c r="N59" s="16" t="e">
        <f>VLOOKUP("8.2.4.3.9000.0000.0000.0000.000.000                             ",BD,63,FALSE)</f>
        <v>#REF!</v>
      </c>
      <c r="O59" s="23" t="e">
        <f t="shared" si="8"/>
        <v>#REF!</v>
      </c>
      <c r="P59" s="88" t="e">
        <f t="shared" si="9"/>
        <v>#REF!</v>
      </c>
    </row>
    <row r="60" spans="1:16" s="15" customFormat="1" ht="24.95" customHeight="1" x14ac:dyDescent="0.25">
      <c r="A60" s="12"/>
      <c r="B60" s="128" t="s">
        <v>26</v>
      </c>
      <c r="C60" s="129"/>
      <c r="D60" s="16"/>
      <c r="E60" s="16"/>
      <c r="F60" s="16">
        <v>0</v>
      </c>
      <c r="G60" s="16"/>
      <c r="H60" s="18"/>
      <c r="I60" s="24">
        <v>0</v>
      </c>
      <c r="N60" s="16"/>
      <c r="O60" s="16"/>
      <c r="P60" s="88">
        <f t="shared" si="9"/>
        <v>0</v>
      </c>
    </row>
    <row r="61" spans="1:16" s="15" customFormat="1" ht="24.95" customHeight="1" x14ac:dyDescent="0.25">
      <c r="A61" s="12"/>
      <c r="B61" s="38"/>
      <c r="C61" s="41" t="s">
        <v>90</v>
      </c>
      <c r="D61" s="16"/>
      <c r="E61" s="16"/>
      <c r="F61" s="16">
        <v>0</v>
      </c>
      <c r="G61" s="16"/>
      <c r="H61" s="18"/>
      <c r="I61" s="24">
        <v>0</v>
      </c>
      <c r="N61" s="16"/>
      <c r="O61" s="16"/>
      <c r="P61" s="88">
        <f t="shared" si="9"/>
        <v>0</v>
      </c>
    </row>
    <row r="62" spans="1:16" s="15" customFormat="1" ht="24.95" customHeight="1" x14ac:dyDescent="0.25">
      <c r="A62" s="12"/>
      <c r="B62" s="38"/>
      <c r="C62" s="41" t="s">
        <v>91</v>
      </c>
      <c r="D62" s="16"/>
      <c r="E62" s="16"/>
      <c r="F62" s="16">
        <v>0</v>
      </c>
      <c r="G62" s="16"/>
      <c r="H62" s="18"/>
      <c r="I62" s="24">
        <v>0</v>
      </c>
      <c r="N62" s="16"/>
      <c r="O62" s="16"/>
      <c r="P62" s="88">
        <f t="shared" si="9"/>
        <v>0</v>
      </c>
    </row>
    <row r="63" spans="1:16" s="15" customFormat="1" ht="24.95" customHeight="1" x14ac:dyDescent="0.25">
      <c r="A63" s="12"/>
      <c r="B63" s="38"/>
      <c r="C63" s="41" t="s">
        <v>92</v>
      </c>
      <c r="D63" s="16"/>
      <c r="E63" s="16"/>
      <c r="F63" s="16">
        <v>0</v>
      </c>
      <c r="G63" s="16"/>
      <c r="H63" s="18"/>
      <c r="I63" s="24">
        <v>0</v>
      </c>
      <c r="N63" s="16"/>
      <c r="O63" s="16"/>
      <c r="P63" s="88">
        <f t="shared" si="9"/>
        <v>0</v>
      </c>
    </row>
    <row r="64" spans="1:16" s="15" customFormat="1" ht="24.95" customHeight="1" x14ac:dyDescent="0.25">
      <c r="A64" s="12"/>
      <c r="B64" s="132" t="s">
        <v>27</v>
      </c>
      <c r="C64" s="133"/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5">
        <v>0</v>
      </c>
      <c r="J64" s="100"/>
      <c r="K64" s="100"/>
      <c r="L64" s="100"/>
      <c r="M64" s="100"/>
      <c r="N64" s="42" t="e">
        <f>SUM(N65:N71)</f>
        <v>#REF!</v>
      </c>
      <c r="O64" s="42" t="e">
        <f>SUM(O65:O71)</f>
        <v>#REF!</v>
      </c>
      <c r="P64" s="88" t="e">
        <f t="shared" si="9"/>
        <v>#REF!</v>
      </c>
    </row>
    <row r="65" spans="1:16" s="15" customFormat="1" ht="24.95" customHeight="1" x14ac:dyDescent="0.25">
      <c r="A65" s="12"/>
      <c r="B65" s="38"/>
      <c r="C65" s="41" t="s">
        <v>93</v>
      </c>
      <c r="D65" s="16"/>
      <c r="E65" s="16"/>
      <c r="F65" s="16">
        <v>0</v>
      </c>
      <c r="G65" s="16"/>
      <c r="H65" s="18"/>
      <c r="I65" s="24">
        <v>0</v>
      </c>
      <c r="N65" s="16"/>
      <c r="O65" s="16"/>
      <c r="P65" s="88">
        <f t="shared" si="9"/>
        <v>0</v>
      </c>
    </row>
    <row r="66" spans="1:16" s="15" customFormat="1" ht="24.95" customHeight="1" x14ac:dyDescent="0.25">
      <c r="A66" s="12"/>
      <c r="B66" s="38"/>
      <c r="C66" s="41" t="s">
        <v>94</v>
      </c>
      <c r="D66" s="16"/>
      <c r="E66" s="16"/>
      <c r="F66" s="16">
        <v>0</v>
      </c>
      <c r="G66" s="16"/>
      <c r="H66" s="18"/>
      <c r="I66" s="24">
        <v>0</v>
      </c>
      <c r="N66" s="16"/>
      <c r="O66" s="16"/>
      <c r="P66" s="88">
        <f t="shared" si="9"/>
        <v>0</v>
      </c>
    </row>
    <row r="67" spans="1:16" s="15" customFormat="1" ht="24.95" customHeight="1" x14ac:dyDescent="0.25">
      <c r="A67" s="12"/>
      <c r="B67" s="38"/>
      <c r="C67" s="41" t="s">
        <v>95</v>
      </c>
      <c r="D67" s="16"/>
      <c r="E67" s="16"/>
      <c r="F67" s="16">
        <v>0</v>
      </c>
      <c r="G67" s="16"/>
      <c r="H67" s="18"/>
      <c r="I67" s="24">
        <v>0</v>
      </c>
      <c r="N67" s="16"/>
      <c r="O67" s="16"/>
      <c r="P67" s="88">
        <f t="shared" si="9"/>
        <v>0</v>
      </c>
    </row>
    <row r="68" spans="1:16" s="15" customFormat="1" ht="24.95" customHeight="1" x14ac:dyDescent="0.25">
      <c r="A68" s="12"/>
      <c r="B68" s="38"/>
      <c r="C68" s="41" t="s">
        <v>96</v>
      </c>
      <c r="D68" s="16"/>
      <c r="E68" s="16"/>
      <c r="F68" s="16">
        <v>0</v>
      </c>
      <c r="G68" s="16"/>
      <c r="H68" s="18"/>
      <c r="I68" s="24">
        <v>0</v>
      </c>
      <c r="N68" s="16"/>
      <c r="O68" s="16"/>
      <c r="P68" s="88">
        <f t="shared" si="9"/>
        <v>0</v>
      </c>
    </row>
    <row r="69" spans="1:16" s="15" customFormat="1" ht="24.95" customHeight="1" x14ac:dyDescent="0.25">
      <c r="A69" s="12"/>
      <c r="B69" s="38"/>
      <c r="C69" s="41" t="s">
        <v>97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24">
        <v>0</v>
      </c>
      <c r="K69" s="88">
        <f>+G69-H69</f>
        <v>0</v>
      </c>
      <c r="N69" s="16" t="e">
        <f>VLOOKUP("8.2.4.5.5000.7500.7540.0004.000.000",BD,63,FALSE)</f>
        <v>#REF!</v>
      </c>
      <c r="O69" s="23" t="e">
        <f>+F69-N69</f>
        <v>#REF!</v>
      </c>
      <c r="P69" s="88" t="e">
        <f t="shared" si="9"/>
        <v>#REF!</v>
      </c>
    </row>
    <row r="70" spans="1:16" s="15" customFormat="1" ht="24.95" customHeight="1" x14ac:dyDescent="0.25">
      <c r="A70" s="12"/>
      <c r="B70" s="38"/>
      <c r="C70" s="41" t="s">
        <v>98</v>
      </c>
      <c r="D70" s="16"/>
      <c r="E70" s="16"/>
      <c r="F70" s="16">
        <v>0</v>
      </c>
      <c r="G70" s="16"/>
      <c r="H70" s="18"/>
      <c r="I70" s="24">
        <v>0</v>
      </c>
      <c r="N70" s="16"/>
      <c r="O70" s="16"/>
      <c r="P70" s="88">
        <f t="shared" si="9"/>
        <v>0</v>
      </c>
    </row>
    <row r="71" spans="1:16" s="15" customFormat="1" ht="24.95" customHeight="1" x14ac:dyDescent="0.25">
      <c r="A71" s="12"/>
      <c r="B71" s="38"/>
      <c r="C71" s="41" t="s">
        <v>99</v>
      </c>
      <c r="D71" s="16"/>
      <c r="E71" s="16"/>
      <c r="F71" s="16">
        <v>0</v>
      </c>
      <c r="G71" s="16"/>
      <c r="H71" s="18"/>
      <c r="I71" s="24">
        <v>0</v>
      </c>
      <c r="N71" s="16"/>
      <c r="O71" s="16"/>
      <c r="P71" s="88">
        <f t="shared" si="9"/>
        <v>0</v>
      </c>
    </row>
    <row r="72" spans="1:16" s="15" customFormat="1" ht="24.95" customHeight="1" x14ac:dyDescent="0.25">
      <c r="A72" s="12"/>
      <c r="B72" s="128" t="s">
        <v>28</v>
      </c>
      <c r="C72" s="129"/>
      <c r="D72" s="16"/>
      <c r="E72" s="16"/>
      <c r="F72" s="16">
        <v>0</v>
      </c>
      <c r="G72" s="16"/>
      <c r="H72" s="18"/>
      <c r="I72" s="24">
        <v>0</v>
      </c>
      <c r="N72" s="16"/>
      <c r="O72" s="16"/>
      <c r="P72" s="88">
        <f t="shared" si="9"/>
        <v>0</v>
      </c>
    </row>
    <row r="73" spans="1:16" s="15" customFormat="1" ht="24.95" customHeight="1" x14ac:dyDescent="0.25">
      <c r="A73" s="12"/>
      <c r="B73" s="38"/>
      <c r="C73" s="41" t="s">
        <v>100</v>
      </c>
      <c r="D73" s="16"/>
      <c r="E73" s="16"/>
      <c r="F73" s="16">
        <v>0</v>
      </c>
      <c r="G73" s="16"/>
      <c r="H73" s="18"/>
      <c r="I73" s="24">
        <v>0</v>
      </c>
      <c r="N73" s="16"/>
      <c r="O73" s="16"/>
      <c r="P73" s="88">
        <f t="shared" si="9"/>
        <v>0</v>
      </c>
    </row>
    <row r="74" spans="1:16" s="15" customFormat="1" ht="24.95" customHeight="1" x14ac:dyDescent="0.25">
      <c r="A74" s="12"/>
      <c r="B74" s="38"/>
      <c r="C74" s="41" t="s">
        <v>101</v>
      </c>
      <c r="D74" s="16"/>
      <c r="E74" s="16"/>
      <c r="F74" s="16">
        <v>0</v>
      </c>
      <c r="G74" s="16"/>
      <c r="H74" s="18"/>
      <c r="I74" s="24">
        <v>0</v>
      </c>
      <c r="N74" s="16"/>
      <c r="O74" s="16"/>
      <c r="P74" s="88">
        <f t="shared" si="9"/>
        <v>0</v>
      </c>
    </row>
    <row r="75" spans="1:16" s="15" customFormat="1" ht="24.95" customHeight="1" x14ac:dyDescent="0.25">
      <c r="A75" s="12"/>
      <c r="B75" s="38"/>
      <c r="C75" s="41" t="s">
        <v>102</v>
      </c>
      <c r="D75" s="16"/>
      <c r="E75" s="16"/>
      <c r="F75" s="16">
        <v>0</v>
      </c>
      <c r="G75" s="16"/>
      <c r="H75" s="18"/>
      <c r="I75" s="24">
        <v>0</v>
      </c>
      <c r="N75" s="16"/>
      <c r="O75" s="16"/>
      <c r="P75" s="88">
        <f t="shared" si="9"/>
        <v>0</v>
      </c>
    </row>
    <row r="76" spans="1:16" s="15" customFormat="1" ht="24.95" customHeight="1" x14ac:dyDescent="0.25">
      <c r="A76" s="12"/>
      <c r="B76" s="128" t="s">
        <v>29</v>
      </c>
      <c r="C76" s="129"/>
      <c r="D76" s="16"/>
      <c r="E76" s="16"/>
      <c r="F76" s="16">
        <v>0</v>
      </c>
      <c r="G76" s="16"/>
      <c r="H76" s="18"/>
      <c r="I76" s="24">
        <v>0</v>
      </c>
      <c r="N76" s="16"/>
      <c r="O76" s="16"/>
      <c r="P76" s="88">
        <f t="shared" si="9"/>
        <v>0</v>
      </c>
    </row>
    <row r="77" spans="1:16" s="15" customFormat="1" ht="24.95" customHeight="1" x14ac:dyDescent="0.25">
      <c r="A77" s="12"/>
      <c r="B77" s="38"/>
      <c r="C77" s="41" t="s">
        <v>103</v>
      </c>
      <c r="D77" s="16"/>
      <c r="E77" s="16"/>
      <c r="F77" s="16">
        <v>0</v>
      </c>
      <c r="G77" s="16"/>
      <c r="H77" s="18"/>
      <c r="I77" s="24">
        <v>0</v>
      </c>
      <c r="N77" s="16"/>
      <c r="O77" s="16"/>
      <c r="P77" s="88">
        <f t="shared" si="9"/>
        <v>0</v>
      </c>
    </row>
    <row r="78" spans="1:16" s="15" customFormat="1" ht="24.95" customHeight="1" x14ac:dyDescent="0.25">
      <c r="A78" s="12"/>
      <c r="B78" s="38"/>
      <c r="C78" s="41" t="s">
        <v>104</v>
      </c>
      <c r="D78" s="16"/>
      <c r="E78" s="16"/>
      <c r="F78" s="16">
        <v>0</v>
      </c>
      <c r="G78" s="16"/>
      <c r="H78" s="18"/>
      <c r="I78" s="24">
        <v>0</v>
      </c>
      <c r="N78" s="16"/>
      <c r="O78" s="16"/>
      <c r="P78" s="88">
        <f t="shared" si="9"/>
        <v>0</v>
      </c>
    </row>
    <row r="79" spans="1:16" s="15" customFormat="1" ht="24.95" customHeight="1" x14ac:dyDescent="0.25">
      <c r="A79" s="12"/>
      <c r="B79" s="38"/>
      <c r="C79" s="41" t="s">
        <v>105</v>
      </c>
      <c r="D79" s="16"/>
      <c r="E79" s="16"/>
      <c r="F79" s="16">
        <v>0</v>
      </c>
      <c r="G79" s="16"/>
      <c r="H79" s="18"/>
      <c r="I79" s="24">
        <v>0</v>
      </c>
      <c r="N79" s="16"/>
      <c r="O79" s="16"/>
      <c r="P79" s="88">
        <f t="shared" si="9"/>
        <v>0</v>
      </c>
    </row>
    <row r="80" spans="1:16" s="15" customFormat="1" ht="24.95" customHeight="1" x14ac:dyDescent="0.25">
      <c r="A80" s="12"/>
      <c r="B80" s="38"/>
      <c r="C80" s="41" t="s">
        <v>106</v>
      </c>
      <c r="D80" s="16"/>
      <c r="E80" s="16"/>
      <c r="F80" s="16">
        <v>0</v>
      </c>
      <c r="G80" s="16"/>
      <c r="H80" s="18"/>
      <c r="I80" s="24">
        <v>0</v>
      </c>
      <c r="N80" s="16"/>
      <c r="O80" s="16"/>
      <c r="P80" s="88">
        <f t="shared" si="9"/>
        <v>0</v>
      </c>
    </row>
    <row r="81" spans="1:16" s="15" customFormat="1" ht="24.95" customHeight="1" x14ac:dyDescent="0.25">
      <c r="A81" s="12"/>
      <c r="B81" s="38"/>
      <c r="C81" s="41" t="s">
        <v>107</v>
      </c>
      <c r="D81" s="16"/>
      <c r="E81" s="16"/>
      <c r="F81" s="16">
        <v>0</v>
      </c>
      <c r="G81" s="16"/>
      <c r="H81" s="18"/>
      <c r="I81" s="24">
        <v>0</v>
      </c>
      <c r="N81" s="16"/>
      <c r="O81" s="16"/>
      <c r="P81" s="88">
        <f t="shared" si="9"/>
        <v>0</v>
      </c>
    </row>
    <row r="82" spans="1:16" s="15" customFormat="1" ht="24.95" customHeight="1" x14ac:dyDescent="0.25">
      <c r="A82" s="12"/>
      <c r="B82" s="38"/>
      <c r="C82" s="41" t="s">
        <v>108</v>
      </c>
      <c r="D82" s="16"/>
      <c r="E82" s="16"/>
      <c r="F82" s="16">
        <v>0</v>
      </c>
      <c r="G82" s="16"/>
      <c r="H82" s="18"/>
      <c r="I82" s="24">
        <v>0</v>
      </c>
      <c r="N82" s="16"/>
      <c r="O82" s="16"/>
      <c r="P82" s="88">
        <f t="shared" si="9"/>
        <v>0</v>
      </c>
    </row>
    <row r="83" spans="1:16" s="15" customFormat="1" ht="24.95" customHeight="1" x14ac:dyDescent="0.25">
      <c r="A83" s="12"/>
      <c r="B83" s="81"/>
      <c r="C83" s="82" t="s">
        <v>109</v>
      </c>
      <c r="D83" s="16"/>
      <c r="E83" s="16"/>
      <c r="F83" s="16">
        <v>0</v>
      </c>
      <c r="G83" s="16"/>
      <c r="H83" s="18"/>
      <c r="I83" s="24">
        <v>0</v>
      </c>
      <c r="N83" s="16"/>
      <c r="O83" s="16"/>
      <c r="P83" s="88">
        <f t="shared" si="9"/>
        <v>0</v>
      </c>
    </row>
    <row r="84" spans="1:16" s="15" customFormat="1" ht="24.95" customHeight="1" thickBot="1" x14ac:dyDescent="0.3">
      <c r="A84" s="12"/>
      <c r="B84" s="25"/>
      <c r="C84" s="83" t="s">
        <v>120</v>
      </c>
      <c r="D84" s="20">
        <v>236181008.43000001</v>
      </c>
      <c r="E84" s="20">
        <v>-10040361.369999997</v>
      </c>
      <c r="F84" s="20">
        <v>226140647.06</v>
      </c>
      <c r="G84" s="20">
        <v>111471510.38000001</v>
      </c>
      <c r="H84" s="20">
        <v>110496784.75999999</v>
      </c>
      <c r="I84" s="20">
        <v>114669136.67999998</v>
      </c>
      <c r="K84" s="88">
        <f>+K12+K20+K30+K50</f>
        <v>974725.62000001222</v>
      </c>
      <c r="N84" s="20" t="e">
        <f>+N12+N20+N30+N50+N64</f>
        <v>#REF!</v>
      </c>
      <c r="O84" s="20" t="e">
        <f>+O12+O20+O30+O50</f>
        <v>#REF!</v>
      </c>
      <c r="P84" s="88" t="e">
        <f t="shared" si="9"/>
        <v>#REF!</v>
      </c>
    </row>
    <row r="85" spans="1:16" ht="23.25" customHeight="1" x14ac:dyDescent="0.2">
      <c r="A85" s="1"/>
      <c r="B85" s="1"/>
      <c r="C85" s="1"/>
      <c r="D85" s="1"/>
      <c r="E85" s="1"/>
      <c r="F85" s="96"/>
      <c r="G85" s="44"/>
      <c r="H85" s="44"/>
      <c r="I85" s="93"/>
      <c r="N85" s="95">
        <f>+F85</f>
        <v>0</v>
      </c>
      <c r="P85" s="97"/>
    </row>
    <row r="86" spans="1:16" x14ac:dyDescent="0.2">
      <c r="A86" s="1"/>
      <c r="B86" s="1"/>
      <c r="C86" s="1" t="s">
        <v>126</v>
      </c>
      <c r="D86" s="1"/>
      <c r="E86" s="1"/>
      <c r="F86" s="93"/>
      <c r="G86" s="44"/>
      <c r="H86" s="44"/>
      <c r="I86" s="1"/>
      <c r="N86" s="95" t="e">
        <f>+N85-N84</f>
        <v>#REF!</v>
      </c>
    </row>
    <row r="87" spans="1:16" x14ac:dyDescent="0.2">
      <c r="A87" s="1"/>
      <c r="B87" s="1"/>
      <c r="C87" s="1"/>
      <c r="D87" s="1"/>
      <c r="E87" s="1"/>
      <c r="F87" s="93"/>
      <c r="G87" s="44"/>
      <c r="H87" s="1"/>
      <c r="I87" s="1"/>
    </row>
    <row r="88" spans="1:16" x14ac:dyDescent="0.2">
      <c r="A88" s="1"/>
      <c r="B88" s="1"/>
      <c r="C88" s="1"/>
      <c r="D88" s="1"/>
      <c r="E88" s="1"/>
      <c r="F88" s="93"/>
      <c r="G88" s="1"/>
      <c r="H88" s="1"/>
      <c r="I88" s="1"/>
    </row>
    <row r="89" spans="1:16" ht="15" x14ac:dyDescent="0.25">
      <c r="A89" s="1"/>
      <c r="B89" s="1"/>
      <c r="C89" s="138" t="s">
        <v>130</v>
      </c>
      <c r="D89" s="138"/>
      <c r="E89" s="138"/>
      <c r="F89" s="139"/>
      <c r="G89" s="140"/>
      <c r="H89" s="47"/>
      <c r="I89" s="1"/>
    </row>
    <row r="90" spans="1:16" ht="15" x14ac:dyDescent="0.25">
      <c r="A90" s="1"/>
      <c r="B90" s="1"/>
      <c r="C90" s="141"/>
      <c r="D90" s="141"/>
      <c r="E90" s="141"/>
      <c r="F90" s="142"/>
      <c r="G90" s="140"/>
      <c r="H90" s="47"/>
      <c r="I90" s="1"/>
    </row>
    <row r="91" spans="1:16" ht="15" x14ac:dyDescent="0.25">
      <c r="C91" s="141"/>
      <c r="D91" s="141"/>
      <c r="E91" s="141"/>
      <c r="F91" s="142"/>
      <c r="G91" s="140"/>
      <c r="H91" s="47"/>
    </row>
    <row r="92" spans="1:16" ht="15" x14ac:dyDescent="0.25">
      <c r="C92" s="143" t="s">
        <v>131</v>
      </c>
      <c r="D92" s="144" t="s">
        <v>132</v>
      </c>
      <c r="E92" s="145"/>
      <c r="F92" s="146"/>
      <c r="G92" s="147" t="s">
        <v>133</v>
      </c>
      <c r="H92" s="47"/>
    </row>
    <row r="93" spans="1:16" ht="15" x14ac:dyDescent="0.25">
      <c r="C93" s="144"/>
      <c r="D93" s="143"/>
      <c r="E93" s="148"/>
      <c r="F93" s="146"/>
      <c r="G93" s="144"/>
      <c r="H93" s="47"/>
    </row>
    <row r="94" spans="1:16" ht="15" x14ac:dyDescent="0.25">
      <c r="C94" s="143"/>
      <c r="D94" s="143"/>
      <c r="E94" s="148"/>
      <c r="F94" s="146"/>
      <c r="G94" s="144"/>
      <c r="H94" s="47"/>
    </row>
    <row r="95" spans="1:16" ht="15" x14ac:dyDescent="0.25">
      <c r="C95" s="143" t="s">
        <v>134</v>
      </c>
      <c r="D95" s="143" t="s">
        <v>135</v>
      </c>
      <c r="E95" s="148"/>
      <c r="F95" s="146"/>
      <c r="G95" s="144" t="s">
        <v>136</v>
      </c>
      <c r="H95" s="47"/>
    </row>
    <row r="96" spans="1:16" ht="15" x14ac:dyDescent="0.25">
      <c r="C96" s="143" t="s">
        <v>137</v>
      </c>
      <c r="D96" s="143" t="s">
        <v>138</v>
      </c>
      <c r="E96" s="148"/>
      <c r="F96" s="143"/>
      <c r="G96" s="143" t="s">
        <v>139</v>
      </c>
      <c r="H96" s="47"/>
    </row>
  </sheetData>
  <mergeCells count="23">
    <mergeCell ref="N8:N9"/>
    <mergeCell ref="O8:O9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</mergeCells>
  <printOptions verticalCentered="1"/>
  <pageMargins left="0.23622047244094491" right="0" top="0.31496062992125984" bottom="0.39370078740157483" header="0" footer="0"/>
  <pageSetup scale="5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2"/>
  <sheetViews>
    <sheetView tabSelected="1" view="pageBreakPreview" zoomScale="60" zoomScaleNormal="80" workbookViewId="0">
      <selection activeCell="G16" sqref="G16"/>
    </sheetView>
  </sheetViews>
  <sheetFormatPr baseColWidth="10" defaultColWidth="11.42578125" defaultRowHeight="12.75" x14ac:dyDescent="0.2"/>
  <cols>
    <col min="1" max="1" width="3.42578125" style="2" customWidth="1"/>
    <col min="2" max="2" width="7.28515625" style="2" customWidth="1"/>
    <col min="3" max="3" width="79.7109375" style="2" customWidth="1"/>
    <col min="4" max="4" width="15.85546875" style="2" bestFit="1" customWidth="1"/>
    <col min="5" max="10" width="15.7109375" style="2" bestFit="1" customWidth="1"/>
    <col min="11" max="16384" width="11.42578125" style="2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19" t="s">
        <v>24</v>
      </c>
      <c r="C2" s="120"/>
      <c r="D2" s="120"/>
      <c r="E2" s="120"/>
      <c r="F2" s="120"/>
      <c r="G2" s="120"/>
      <c r="H2" s="120"/>
      <c r="I2" s="121"/>
    </row>
    <row r="3" spans="1:9" ht="15.75" x14ac:dyDescent="0.25">
      <c r="A3" s="1"/>
      <c r="B3" s="122" t="s">
        <v>110</v>
      </c>
      <c r="C3" s="123"/>
      <c r="D3" s="123"/>
      <c r="E3" s="123"/>
      <c r="F3" s="123"/>
      <c r="G3" s="123"/>
      <c r="H3" s="123"/>
      <c r="I3" s="124"/>
    </row>
    <row r="4" spans="1:9" ht="15.75" x14ac:dyDescent="0.25">
      <c r="A4" s="1"/>
      <c r="B4" s="122" t="s">
        <v>125</v>
      </c>
      <c r="C4" s="123"/>
      <c r="D4" s="123"/>
      <c r="E4" s="123"/>
      <c r="F4" s="123"/>
      <c r="G4" s="123"/>
      <c r="H4" s="123"/>
      <c r="I4" s="124"/>
    </row>
    <row r="5" spans="1:9" ht="15.75" x14ac:dyDescent="0.25">
      <c r="A5" s="1"/>
      <c r="B5" s="122" t="s">
        <v>129</v>
      </c>
      <c r="C5" s="123"/>
      <c r="D5" s="123"/>
      <c r="E5" s="123"/>
      <c r="F5" s="123"/>
      <c r="G5" s="123"/>
      <c r="H5" s="123"/>
      <c r="I5" s="124"/>
    </row>
    <row r="6" spans="1:9" s="4" customFormat="1" ht="16.5" thickBot="1" x14ac:dyDescent="0.3">
      <c r="A6" s="1"/>
      <c r="B6" s="125"/>
      <c r="C6" s="126"/>
      <c r="D6" s="126"/>
      <c r="E6" s="126"/>
      <c r="F6" s="126"/>
      <c r="G6" s="126"/>
      <c r="H6" s="126"/>
      <c r="I6" s="127"/>
    </row>
    <row r="7" spans="1:9" ht="34.5" customHeight="1" x14ac:dyDescent="0.2">
      <c r="A7" s="1"/>
      <c r="B7" s="1"/>
      <c r="C7" s="1"/>
      <c r="D7" s="3"/>
      <c r="E7" s="3"/>
      <c r="F7" s="3"/>
      <c r="G7" s="3"/>
      <c r="H7" s="1"/>
      <c r="I7" s="1"/>
    </row>
    <row r="8" spans="1:9" s="6" customFormat="1" ht="30" customHeight="1" x14ac:dyDescent="0.25">
      <c r="A8" s="5"/>
      <c r="B8" s="108" t="s">
        <v>112</v>
      </c>
      <c r="C8" s="109"/>
      <c r="D8" s="114" t="s">
        <v>113</v>
      </c>
      <c r="E8" s="114"/>
      <c r="F8" s="114"/>
      <c r="G8" s="114"/>
      <c r="H8" s="115"/>
      <c r="I8" s="116" t="s">
        <v>114</v>
      </c>
    </row>
    <row r="9" spans="1:9" s="6" customFormat="1" ht="30" customHeight="1" x14ac:dyDescent="0.25">
      <c r="A9" s="5"/>
      <c r="B9" s="110"/>
      <c r="C9" s="111"/>
      <c r="D9" s="117" t="s">
        <v>115</v>
      </c>
      <c r="E9" s="118" t="s">
        <v>116</v>
      </c>
      <c r="F9" s="101" t="s">
        <v>117</v>
      </c>
      <c r="G9" s="101" t="s">
        <v>21</v>
      </c>
      <c r="H9" s="101" t="s">
        <v>23</v>
      </c>
      <c r="I9" s="101"/>
    </row>
    <row r="10" spans="1:9" s="6" customFormat="1" ht="23.25" customHeight="1" x14ac:dyDescent="0.25">
      <c r="A10" s="5"/>
      <c r="B10" s="110"/>
      <c r="C10" s="111"/>
      <c r="D10" s="117"/>
      <c r="E10" s="118"/>
      <c r="F10" s="101"/>
      <c r="G10" s="101"/>
      <c r="H10" s="101"/>
      <c r="I10" s="101"/>
    </row>
    <row r="11" spans="1:9" s="11" customFormat="1" ht="18.75" customHeight="1" x14ac:dyDescent="0.2">
      <c r="A11" s="7"/>
      <c r="B11" s="112"/>
      <c r="C11" s="113"/>
      <c r="D11" s="85">
        <v>1</v>
      </c>
      <c r="E11" s="86">
        <v>2</v>
      </c>
      <c r="F11" s="86" t="s">
        <v>118</v>
      </c>
      <c r="G11" s="86">
        <v>4</v>
      </c>
      <c r="H11" s="86">
        <v>5</v>
      </c>
      <c r="I11" s="87" t="s">
        <v>119</v>
      </c>
    </row>
    <row r="12" spans="1:9" s="15" customFormat="1" ht="27.95" customHeight="1" thickBot="1" x14ac:dyDescent="0.25">
      <c r="A12" s="12"/>
      <c r="B12" s="8"/>
      <c r="C12" s="8"/>
      <c r="D12" s="9"/>
      <c r="E12" s="9"/>
      <c r="F12" s="9"/>
      <c r="G12" s="9"/>
      <c r="H12" s="10"/>
      <c r="I12" s="10"/>
    </row>
    <row r="13" spans="1:9" s="15" customFormat="1" ht="27.95" customHeight="1" x14ac:dyDescent="0.25">
      <c r="A13" s="12"/>
      <c r="B13" s="134" t="s">
        <v>33</v>
      </c>
      <c r="C13" s="135"/>
      <c r="D13" s="30"/>
      <c r="E13" s="30"/>
      <c r="F13" s="30"/>
      <c r="G13" s="30"/>
      <c r="H13" s="31">
        <v>0</v>
      </c>
      <c r="I13" s="32">
        <v>0</v>
      </c>
    </row>
    <row r="14" spans="1:9" s="15" customFormat="1" ht="27.95" customHeight="1" x14ac:dyDescent="0.25">
      <c r="A14" s="12"/>
      <c r="B14" s="36"/>
      <c r="C14" s="37" t="s">
        <v>34</v>
      </c>
      <c r="D14" s="33"/>
      <c r="E14" s="33"/>
      <c r="F14" s="33"/>
      <c r="G14" s="33"/>
      <c r="H14" s="34">
        <v>0</v>
      </c>
      <c r="I14" s="35">
        <v>0</v>
      </c>
    </row>
    <row r="15" spans="1:9" s="15" customFormat="1" ht="27.95" customHeight="1" x14ac:dyDescent="0.25">
      <c r="A15" s="12"/>
      <c r="B15" s="36"/>
      <c r="C15" s="37" t="s">
        <v>35</v>
      </c>
      <c r="D15" s="16"/>
      <c r="E15" s="16"/>
      <c r="F15" s="16"/>
      <c r="G15" s="16"/>
      <c r="H15" s="17">
        <v>0</v>
      </c>
      <c r="I15" s="24">
        <v>0</v>
      </c>
    </row>
    <row r="16" spans="1:9" s="15" customFormat="1" ht="15.75" x14ac:dyDescent="0.25">
      <c r="A16" s="12"/>
      <c r="B16" s="36"/>
      <c r="C16" s="37" t="s">
        <v>36</v>
      </c>
      <c r="D16" s="16"/>
      <c r="E16" s="16"/>
      <c r="F16" s="16"/>
      <c r="G16" s="16"/>
      <c r="H16" s="17">
        <v>0</v>
      </c>
      <c r="I16" s="24">
        <v>0</v>
      </c>
    </row>
    <row r="17" spans="1:10" s="15" customFormat="1" ht="27.95" customHeight="1" x14ac:dyDescent="0.25">
      <c r="A17" s="12"/>
      <c r="B17" s="38"/>
      <c r="C17" s="37" t="s">
        <v>37</v>
      </c>
      <c r="D17" s="16"/>
      <c r="E17" s="16"/>
      <c r="F17" s="16"/>
      <c r="G17" s="16"/>
      <c r="H17" s="17">
        <v>0</v>
      </c>
      <c r="I17" s="24">
        <v>0</v>
      </c>
    </row>
    <row r="18" spans="1:10" s="15" customFormat="1" ht="27.95" customHeight="1" x14ac:dyDescent="0.25">
      <c r="A18" s="12"/>
      <c r="B18" s="38"/>
      <c r="C18" s="37" t="s">
        <v>38</v>
      </c>
      <c r="D18" s="16"/>
      <c r="E18" s="16"/>
      <c r="F18" s="16"/>
      <c r="G18" s="16"/>
      <c r="H18" s="17">
        <v>0</v>
      </c>
      <c r="I18" s="24">
        <v>0</v>
      </c>
    </row>
    <row r="19" spans="1:10" s="15" customFormat="1" ht="27.95" customHeight="1" x14ac:dyDescent="0.25">
      <c r="A19" s="12"/>
      <c r="B19" s="38"/>
      <c r="C19" s="37" t="s">
        <v>39</v>
      </c>
      <c r="D19" s="16"/>
      <c r="E19" s="16"/>
      <c r="F19" s="16"/>
      <c r="G19" s="16"/>
      <c r="H19" s="17">
        <v>0</v>
      </c>
      <c r="I19" s="24">
        <v>0</v>
      </c>
    </row>
    <row r="20" spans="1:10" s="15" customFormat="1" ht="27.95" customHeight="1" x14ac:dyDescent="0.25">
      <c r="A20" s="12"/>
      <c r="B20" s="38"/>
      <c r="C20" s="37" t="s">
        <v>40</v>
      </c>
      <c r="D20" s="16"/>
      <c r="E20" s="16"/>
      <c r="F20" s="16"/>
      <c r="G20" s="16"/>
      <c r="H20" s="17">
        <v>0</v>
      </c>
      <c r="I20" s="24">
        <v>0</v>
      </c>
    </row>
    <row r="21" spans="1:10" s="15" customFormat="1" ht="27.95" customHeight="1" x14ac:dyDescent="0.25">
      <c r="A21" s="12"/>
      <c r="B21" s="38"/>
      <c r="C21" s="37" t="s">
        <v>15</v>
      </c>
      <c r="D21" s="16"/>
      <c r="E21" s="16"/>
      <c r="F21" s="16"/>
      <c r="G21" s="16"/>
      <c r="H21" s="17">
        <v>0</v>
      </c>
      <c r="I21" s="24">
        <v>0</v>
      </c>
    </row>
    <row r="22" spans="1:10" s="15" customFormat="1" ht="38.25" customHeight="1" x14ac:dyDescent="0.25">
      <c r="A22" s="12"/>
      <c r="B22" s="38"/>
      <c r="C22" s="37"/>
      <c r="D22" s="16"/>
      <c r="E22" s="16"/>
      <c r="F22" s="16"/>
      <c r="G22" s="16"/>
      <c r="H22" s="17"/>
      <c r="I22" s="24"/>
    </row>
    <row r="23" spans="1:10" s="15" customFormat="1" ht="27.95" customHeight="1" x14ac:dyDescent="0.25">
      <c r="A23" s="12"/>
      <c r="B23" s="136" t="s">
        <v>41</v>
      </c>
      <c r="C23" s="137"/>
      <c r="D23" s="16">
        <v>236181008.43000001</v>
      </c>
      <c r="E23" s="16">
        <v>-10040361.370000001</v>
      </c>
      <c r="F23" s="16">
        <v>226140647.06</v>
      </c>
      <c r="G23" s="16">
        <v>111471510.38</v>
      </c>
      <c r="H23" s="16">
        <v>110496784.75999999</v>
      </c>
      <c r="I23" s="24">
        <v>114669136.68000001</v>
      </c>
    </row>
    <row r="24" spans="1:10" s="15" customFormat="1" ht="27.95" customHeight="1" x14ac:dyDescent="0.25">
      <c r="A24" s="12"/>
      <c r="B24" s="36"/>
      <c r="C24" s="39" t="s">
        <v>42</v>
      </c>
      <c r="D24" s="16"/>
      <c r="E24" s="16"/>
      <c r="F24" s="16"/>
      <c r="G24" s="16"/>
      <c r="H24" s="17">
        <v>0</v>
      </c>
      <c r="I24" s="24">
        <v>0</v>
      </c>
    </row>
    <row r="25" spans="1:10" s="15" customFormat="1" ht="27.95" customHeight="1" x14ac:dyDescent="0.25">
      <c r="A25" s="12"/>
      <c r="B25" s="36"/>
      <c r="C25" s="39" t="s">
        <v>43</v>
      </c>
      <c r="D25" s="16"/>
      <c r="E25" s="16"/>
      <c r="F25" s="16"/>
      <c r="G25" s="16"/>
      <c r="H25" s="17">
        <v>0</v>
      </c>
      <c r="I25" s="24">
        <v>0</v>
      </c>
    </row>
    <row r="26" spans="1:10" s="15" customFormat="1" ht="27.95" customHeight="1" x14ac:dyDescent="0.25">
      <c r="A26" s="12"/>
      <c r="B26" s="36"/>
      <c r="C26" s="39" t="s">
        <v>44</v>
      </c>
      <c r="D26" s="16"/>
      <c r="E26" s="16"/>
      <c r="F26" s="16"/>
      <c r="G26" s="16"/>
      <c r="H26" s="17">
        <v>0</v>
      </c>
      <c r="I26" s="24">
        <v>0</v>
      </c>
    </row>
    <row r="27" spans="1:10" s="15" customFormat="1" ht="15.75" x14ac:dyDescent="0.25">
      <c r="A27" s="12"/>
      <c r="B27" s="38"/>
      <c r="C27" s="39" t="s">
        <v>45</v>
      </c>
      <c r="D27" s="16"/>
      <c r="E27" s="16"/>
      <c r="F27" s="16"/>
      <c r="G27" s="16"/>
      <c r="H27" s="17">
        <v>0</v>
      </c>
      <c r="I27" s="24">
        <v>0</v>
      </c>
    </row>
    <row r="28" spans="1:10" s="15" customFormat="1" ht="27.95" customHeight="1" x14ac:dyDescent="0.25">
      <c r="A28" s="12"/>
      <c r="B28" s="38"/>
      <c r="C28" s="39" t="s">
        <v>46</v>
      </c>
      <c r="D28" s="16">
        <v>236181008.43000001</v>
      </c>
      <c r="E28" s="16">
        <v>-10040361.370000001</v>
      </c>
      <c r="F28" s="16">
        <v>226140647.06</v>
      </c>
      <c r="G28" s="16">
        <v>111471510.38</v>
      </c>
      <c r="H28" s="16">
        <v>110496784.75999999</v>
      </c>
      <c r="I28" s="24">
        <v>114669136.68000001</v>
      </c>
      <c r="J28" s="88"/>
    </row>
    <row r="29" spans="1:10" s="15" customFormat="1" ht="27.95" customHeight="1" x14ac:dyDescent="0.25">
      <c r="A29" s="12"/>
      <c r="B29" s="38"/>
      <c r="C29" s="39" t="s">
        <v>47</v>
      </c>
      <c r="D29" s="16"/>
      <c r="E29" s="16"/>
      <c r="F29" s="16"/>
      <c r="G29" s="16"/>
      <c r="H29" s="17">
        <v>0</v>
      </c>
      <c r="I29" s="24">
        <v>0</v>
      </c>
    </row>
    <row r="30" spans="1:10" s="15" customFormat="1" ht="27.95" customHeight="1" x14ac:dyDescent="0.25">
      <c r="A30" s="12"/>
      <c r="B30" s="38"/>
      <c r="C30" s="39" t="s">
        <v>48</v>
      </c>
      <c r="D30" s="16"/>
      <c r="E30" s="16"/>
      <c r="F30" s="16"/>
      <c r="G30" s="16"/>
      <c r="H30" s="17">
        <v>0</v>
      </c>
      <c r="I30" s="24">
        <v>0</v>
      </c>
    </row>
    <row r="31" spans="1:10" s="15" customFormat="1" ht="27.95" customHeight="1" x14ac:dyDescent="0.25">
      <c r="A31" s="12"/>
      <c r="B31" s="38"/>
      <c r="C31" s="19"/>
      <c r="D31" s="16"/>
      <c r="E31" s="16"/>
      <c r="F31" s="16"/>
      <c r="G31" s="16"/>
      <c r="H31" s="17"/>
      <c r="I31" s="24">
        <v>0</v>
      </c>
    </row>
    <row r="32" spans="1:10" s="15" customFormat="1" ht="15" customHeight="1" x14ac:dyDescent="0.25">
      <c r="A32" s="12"/>
      <c r="B32" s="136" t="s">
        <v>49</v>
      </c>
      <c r="C32" s="137"/>
      <c r="D32" s="16"/>
      <c r="E32" s="16"/>
      <c r="F32" s="16"/>
      <c r="G32" s="16"/>
      <c r="H32" s="17">
        <v>0</v>
      </c>
      <c r="I32" s="24">
        <v>0</v>
      </c>
    </row>
    <row r="33" spans="1:9" s="15" customFormat="1" ht="15.75" x14ac:dyDescent="0.25">
      <c r="A33" s="12"/>
      <c r="B33" s="36"/>
      <c r="C33" s="39" t="s">
        <v>50</v>
      </c>
      <c r="D33" s="16"/>
      <c r="E33" s="16"/>
      <c r="F33" s="16"/>
      <c r="G33" s="16"/>
      <c r="H33" s="17">
        <v>0</v>
      </c>
      <c r="I33" s="24">
        <v>0</v>
      </c>
    </row>
    <row r="34" spans="1:9" s="15" customFormat="1" ht="15.75" x14ac:dyDescent="0.25">
      <c r="A34" s="12"/>
      <c r="B34" s="36"/>
      <c r="C34" s="39" t="s">
        <v>51</v>
      </c>
      <c r="D34" s="16"/>
      <c r="E34" s="16"/>
      <c r="F34" s="16"/>
      <c r="G34" s="16"/>
      <c r="H34" s="17">
        <v>0</v>
      </c>
      <c r="I34" s="24">
        <v>0</v>
      </c>
    </row>
    <row r="35" spans="1:9" s="15" customFormat="1" ht="27.95" customHeight="1" x14ac:dyDescent="0.25">
      <c r="A35" s="12"/>
      <c r="B35" s="36"/>
      <c r="C35" s="39" t="s">
        <v>52</v>
      </c>
      <c r="D35" s="16"/>
      <c r="E35" s="16"/>
      <c r="F35" s="16"/>
      <c r="G35" s="16"/>
      <c r="H35" s="17">
        <v>0</v>
      </c>
      <c r="I35" s="24">
        <v>0</v>
      </c>
    </row>
    <row r="36" spans="1:9" s="15" customFormat="1" ht="15.75" x14ac:dyDescent="0.25">
      <c r="A36" s="12"/>
      <c r="B36" s="38"/>
      <c r="C36" s="39" t="s">
        <v>53</v>
      </c>
      <c r="D36" s="16"/>
      <c r="E36" s="16"/>
      <c r="F36" s="16"/>
      <c r="G36" s="16"/>
      <c r="H36" s="17">
        <v>0</v>
      </c>
      <c r="I36" s="24">
        <v>0</v>
      </c>
    </row>
    <row r="37" spans="1:9" s="15" customFormat="1" ht="27.95" customHeight="1" x14ac:dyDescent="0.25">
      <c r="A37" s="12"/>
      <c r="B37" s="38"/>
      <c r="C37" s="39" t="s">
        <v>54</v>
      </c>
      <c r="D37" s="16"/>
      <c r="E37" s="16"/>
      <c r="F37" s="16"/>
      <c r="G37" s="16"/>
      <c r="H37" s="17">
        <v>0</v>
      </c>
      <c r="I37" s="24">
        <v>0</v>
      </c>
    </row>
    <row r="38" spans="1:9" s="15" customFormat="1" ht="27.95" customHeight="1" x14ac:dyDescent="0.25">
      <c r="A38" s="12"/>
      <c r="B38" s="38"/>
      <c r="C38" s="39" t="s">
        <v>55</v>
      </c>
      <c r="D38" s="16"/>
      <c r="E38" s="16"/>
      <c r="F38" s="16"/>
      <c r="G38" s="16"/>
      <c r="H38" s="17">
        <v>0</v>
      </c>
      <c r="I38" s="24">
        <v>0</v>
      </c>
    </row>
    <row r="39" spans="1:9" s="15" customFormat="1" ht="27.95" customHeight="1" x14ac:dyDescent="0.25">
      <c r="A39" s="12"/>
      <c r="B39" s="38"/>
      <c r="C39" s="39" t="s">
        <v>56</v>
      </c>
      <c r="D39" s="16"/>
      <c r="E39" s="16"/>
      <c r="F39" s="16"/>
      <c r="G39" s="16"/>
      <c r="H39" s="17">
        <v>0</v>
      </c>
      <c r="I39" s="24">
        <v>0</v>
      </c>
    </row>
    <row r="40" spans="1:9" s="15" customFormat="1" ht="27.95" customHeight="1" x14ac:dyDescent="0.25">
      <c r="A40" s="12"/>
      <c r="B40" s="38"/>
      <c r="C40" s="39" t="s">
        <v>57</v>
      </c>
      <c r="D40" s="16"/>
      <c r="E40" s="16"/>
      <c r="F40" s="16"/>
      <c r="G40" s="16"/>
      <c r="H40" s="17">
        <v>0</v>
      </c>
      <c r="I40" s="24">
        <v>0</v>
      </c>
    </row>
    <row r="41" spans="1:9" s="15" customFormat="1" ht="29.25" customHeight="1" x14ac:dyDescent="0.25">
      <c r="A41" s="12"/>
      <c r="B41" s="38"/>
      <c r="C41" s="39" t="s">
        <v>58</v>
      </c>
      <c r="D41" s="16"/>
      <c r="E41" s="16"/>
      <c r="F41" s="16"/>
      <c r="G41" s="16"/>
      <c r="H41" s="17">
        <v>0</v>
      </c>
      <c r="I41" s="24">
        <v>0</v>
      </c>
    </row>
    <row r="42" spans="1:9" s="15" customFormat="1" ht="23.25" customHeight="1" x14ac:dyDescent="0.25">
      <c r="A42" s="12"/>
      <c r="B42" s="38"/>
      <c r="C42" s="19"/>
      <c r="D42" s="16"/>
      <c r="E42" s="16"/>
      <c r="F42" s="16"/>
      <c r="G42" s="16"/>
      <c r="H42" s="17"/>
      <c r="I42" s="24">
        <v>0</v>
      </c>
    </row>
    <row r="43" spans="1:9" s="15" customFormat="1" ht="26.25" customHeight="1" x14ac:dyDescent="0.25">
      <c r="A43" s="12"/>
      <c r="B43" s="136" t="s">
        <v>59</v>
      </c>
      <c r="C43" s="137"/>
      <c r="D43" s="16"/>
      <c r="E43" s="16"/>
      <c r="F43" s="16"/>
      <c r="G43" s="16"/>
      <c r="H43" s="17">
        <v>0</v>
      </c>
      <c r="I43" s="24">
        <v>0</v>
      </c>
    </row>
    <row r="44" spans="1:9" s="15" customFormat="1" ht="22.5" customHeight="1" x14ac:dyDescent="0.25">
      <c r="A44" s="12"/>
      <c r="B44" s="36"/>
      <c r="C44" s="39" t="s">
        <v>60</v>
      </c>
      <c r="D44" s="16"/>
      <c r="E44" s="16"/>
      <c r="F44" s="16"/>
      <c r="G44" s="16"/>
      <c r="H44" s="17">
        <v>0</v>
      </c>
      <c r="I44" s="24">
        <v>0</v>
      </c>
    </row>
    <row r="45" spans="1:9" s="15" customFormat="1" ht="31.5" x14ac:dyDescent="0.25">
      <c r="A45" s="12"/>
      <c r="B45" s="36"/>
      <c r="C45" s="39" t="s">
        <v>61</v>
      </c>
      <c r="D45" s="16"/>
      <c r="E45" s="16"/>
      <c r="F45" s="16"/>
      <c r="G45" s="16"/>
      <c r="H45" s="17">
        <v>0</v>
      </c>
      <c r="I45" s="24">
        <v>0</v>
      </c>
    </row>
    <row r="46" spans="1:9" s="15" customFormat="1" ht="21.75" customHeight="1" x14ac:dyDescent="0.25">
      <c r="A46" s="12"/>
      <c r="B46" s="36"/>
      <c r="C46" s="39" t="s">
        <v>62</v>
      </c>
      <c r="D46" s="16"/>
      <c r="E46" s="16"/>
      <c r="F46" s="16"/>
      <c r="G46" s="16"/>
      <c r="H46" s="17">
        <v>0</v>
      </c>
      <c r="I46" s="24">
        <v>0</v>
      </c>
    </row>
    <row r="47" spans="1:9" s="15" customFormat="1" ht="27.95" customHeight="1" x14ac:dyDescent="0.25">
      <c r="A47" s="12"/>
      <c r="B47" s="38"/>
      <c r="C47" s="37" t="s">
        <v>63</v>
      </c>
      <c r="D47" s="16"/>
      <c r="E47" s="16"/>
      <c r="F47" s="16"/>
      <c r="G47" s="16"/>
      <c r="H47" s="17">
        <v>0</v>
      </c>
      <c r="I47" s="24">
        <v>0</v>
      </c>
    </row>
    <row r="48" spans="1:9" s="15" customFormat="1" ht="27.95" customHeight="1" x14ac:dyDescent="0.25">
      <c r="A48" s="12"/>
      <c r="B48" s="81"/>
      <c r="C48" s="84"/>
      <c r="D48" s="40"/>
      <c r="E48" s="40"/>
      <c r="F48" s="40"/>
      <c r="G48" s="16"/>
      <c r="H48" s="17"/>
      <c r="I48" s="24"/>
    </row>
    <row r="49" spans="1:9" ht="31.5" customHeight="1" thickBot="1" x14ac:dyDescent="0.25">
      <c r="A49" s="1"/>
      <c r="B49" s="29"/>
      <c r="C49" s="91" t="s">
        <v>120</v>
      </c>
      <c r="D49" s="20">
        <v>236181008.43000001</v>
      </c>
      <c r="E49" s="20">
        <v>-10040361.370000001</v>
      </c>
      <c r="F49" s="20">
        <v>226140647.06</v>
      </c>
      <c r="G49" s="20">
        <v>111471510.38</v>
      </c>
      <c r="H49" s="20">
        <v>110496784.75999999</v>
      </c>
      <c r="I49" s="20">
        <v>114669136.68000001</v>
      </c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93"/>
      <c r="G51" s="93"/>
      <c r="H51" s="93"/>
      <c r="I51" s="1"/>
    </row>
    <row r="52" spans="1:9" x14ac:dyDescent="0.2">
      <c r="A52" s="1"/>
      <c r="B52" s="1"/>
      <c r="C52" s="1"/>
      <c r="D52" s="1"/>
      <c r="E52" s="1"/>
      <c r="F52" s="44"/>
      <c r="G52" s="44"/>
      <c r="H52" s="44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15" x14ac:dyDescent="0.25">
      <c r="B55" s="1"/>
      <c r="C55" s="138" t="s">
        <v>130</v>
      </c>
      <c r="D55" s="138"/>
      <c r="E55" s="138"/>
      <c r="F55" s="139"/>
      <c r="G55" s="140"/>
      <c r="H55" s="47"/>
      <c r="I55" s="1"/>
    </row>
    <row r="56" spans="1:9" ht="15" x14ac:dyDescent="0.25">
      <c r="C56" s="141"/>
      <c r="D56" s="141"/>
      <c r="E56" s="141"/>
      <c r="F56" s="142"/>
      <c r="G56" s="140"/>
      <c r="H56" s="47"/>
    </row>
    <row r="57" spans="1:9" ht="15" x14ac:dyDescent="0.25">
      <c r="C57" s="141"/>
      <c r="D57" s="141"/>
      <c r="E57" s="141"/>
      <c r="F57" s="142"/>
      <c r="G57" s="140"/>
      <c r="H57" s="47"/>
    </row>
    <row r="58" spans="1:9" ht="15" x14ac:dyDescent="0.25">
      <c r="C58" s="143" t="s">
        <v>131</v>
      </c>
      <c r="D58" s="144" t="s">
        <v>132</v>
      </c>
      <c r="E58" s="145"/>
      <c r="F58" s="146"/>
      <c r="G58" s="147" t="s">
        <v>133</v>
      </c>
      <c r="H58" s="47"/>
    </row>
    <row r="59" spans="1:9" ht="15" x14ac:dyDescent="0.25">
      <c r="C59" s="144"/>
      <c r="D59" s="143"/>
      <c r="E59" s="148"/>
      <c r="F59" s="146"/>
      <c r="G59" s="144"/>
      <c r="H59" s="47"/>
    </row>
    <row r="60" spans="1:9" ht="15" x14ac:dyDescent="0.25">
      <c r="C60" s="143"/>
      <c r="D60" s="143"/>
      <c r="E60" s="148"/>
      <c r="F60" s="146"/>
      <c r="G60" s="144"/>
      <c r="H60" s="47"/>
    </row>
    <row r="61" spans="1:9" ht="15" x14ac:dyDescent="0.25">
      <c r="C61" s="143" t="s">
        <v>134</v>
      </c>
      <c r="D61" s="143" t="s">
        <v>135</v>
      </c>
      <c r="E61" s="148"/>
      <c r="F61" s="146"/>
      <c r="G61" s="144" t="s">
        <v>136</v>
      </c>
      <c r="H61" s="47"/>
    </row>
    <row r="62" spans="1:9" ht="15" x14ac:dyDescent="0.25">
      <c r="C62" s="143" t="s">
        <v>137</v>
      </c>
      <c r="D62" s="143" t="s">
        <v>138</v>
      </c>
      <c r="E62" s="148"/>
      <c r="F62" s="143"/>
      <c r="G62" s="143" t="s">
        <v>139</v>
      </c>
      <c r="H62" s="47"/>
    </row>
  </sheetData>
  <mergeCells count="17">
    <mergeCell ref="B13:C13"/>
    <mergeCell ref="B23:C23"/>
    <mergeCell ref="B32:C32"/>
    <mergeCell ref="B43:C43"/>
    <mergeCell ref="B8:C11"/>
    <mergeCell ref="B2:I2"/>
    <mergeCell ref="B3:I3"/>
    <mergeCell ref="B4:I4"/>
    <mergeCell ref="B5:I5"/>
    <mergeCell ref="B6:I6"/>
    <mergeCell ref="I8:I10"/>
    <mergeCell ref="D9:D10"/>
    <mergeCell ref="E9:E10"/>
    <mergeCell ref="F9:F10"/>
    <mergeCell ref="G9:G10"/>
    <mergeCell ref="H9:H10"/>
    <mergeCell ref="D8:H8"/>
  </mergeCells>
  <printOptions horizontalCentered="1" verticalCentered="1"/>
  <pageMargins left="0.55118110236220474" right="0" top="0.98425196850393704" bottom="0.98425196850393704" header="0" footer="0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Edo_Analitico_Clasif_Admtva</vt:lpstr>
      <vt:lpstr>Edo_Analitico_ClasiEcon_TipoGto</vt:lpstr>
      <vt:lpstr>Edo_Analítico_Pres_Egre_CapGto</vt:lpstr>
      <vt:lpstr>Edo_Analit_PE_Clasi_funcional</vt:lpstr>
      <vt:lpstr>Edo_Analit_PE_Clasi_funcional!Área_de_impresión</vt:lpstr>
      <vt:lpstr>Edo_Analitico_ClasiEcon_TipoGto!Área_de_impresión</vt:lpstr>
      <vt:lpstr>Edo_Analítico_Pres_Egre_CapGto!Área_de_impresión</vt:lpstr>
      <vt:lpstr>Edo_Analit_PE_Clasi_funcional!Títulos_a_imprimir</vt:lpstr>
      <vt:lpstr>Edo_Analítico_Pres_Egre_CapGto!Títulos_a_imprimir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jaime huchin mis</cp:lastModifiedBy>
  <cp:lastPrinted>2016-10-24T20:49:40Z</cp:lastPrinted>
  <dcterms:created xsi:type="dcterms:W3CDTF">2012-05-21T16:50:30Z</dcterms:created>
  <dcterms:modified xsi:type="dcterms:W3CDTF">2016-10-24T20:50:42Z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